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Z:\ZNoemí.Lupita\Cuenta Publica\2021\01-03 MSF INF TRIM 2021\"/>
    </mc:Choice>
  </mc:AlternateContent>
  <xr:revisionPtr revIDLastSave="0" documentId="8_{2D191657-1511-4C75-961E-05594C6166F9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490" windowHeight="6945" firstSheet="7" activeTab="17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8" l="1"/>
  <c r="G13" i="8"/>
  <c r="C68" i="5" l="1"/>
  <c r="D68" i="5"/>
  <c r="E68" i="5"/>
  <c r="F68" i="5"/>
  <c r="B68" i="5"/>
  <c r="B48" i="4" l="1"/>
  <c r="C137" i="6" l="1"/>
  <c r="D137" i="6"/>
  <c r="R129" i="24" s="1"/>
  <c r="E137" i="6"/>
  <c r="F137" i="6"/>
  <c r="T129" i="24" s="1"/>
  <c r="B137" i="6"/>
  <c r="C62" i="6"/>
  <c r="Q55" i="24" s="1"/>
  <c r="D62" i="6"/>
  <c r="E62" i="6"/>
  <c r="S55" i="24" s="1"/>
  <c r="F62" i="6"/>
  <c r="T55" i="24" s="1"/>
  <c r="B62" i="6"/>
  <c r="B8" i="10"/>
  <c r="C6" i="23"/>
  <c r="C7" i="23" s="1"/>
  <c r="B9" i="1"/>
  <c r="H25" i="23"/>
  <c r="G25" i="23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U14" i="27" s="1"/>
  <c r="G19" i="9"/>
  <c r="G18" i="9"/>
  <c r="G16" i="9" s="1"/>
  <c r="G17" i="9"/>
  <c r="G14" i="9"/>
  <c r="G15" i="9"/>
  <c r="G13" i="9"/>
  <c r="G11" i="9"/>
  <c r="G10" i="9"/>
  <c r="U3" i="27" s="1"/>
  <c r="G73" i="8"/>
  <c r="U65" i="26" s="1"/>
  <c r="G74" i="8"/>
  <c r="G75" i="8"/>
  <c r="U67" i="26" s="1"/>
  <c r="G72" i="8"/>
  <c r="G71" i="8" s="1"/>
  <c r="U63" i="26" s="1"/>
  <c r="G63" i="8"/>
  <c r="U55" i="26" s="1"/>
  <c r="G64" i="8"/>
  <c r="G65" i="8"/>
  <c r="U57" i="26" s="1"/>
  <c r="G66" i="8"/>
  <c r="G67" i="8"/>
  <c r="U59" i="26" s="1"/>
  <c r="G68" i="8"/>
  <c r="G69" i="8"/>
  <c r="U61" i="26" s="1"/>
  <c r="G70" i="8"/>
  <c r="G62" i="8"/>
  <c r="G55" i="8"/>
  <c r="U47" i="26" s="1"/>
  <c r="G56" i="8"/>
  <c r="U48" i="26" s="1"/>
  <c r="G57" i="8"/>
  <c r="U49" i="26" s="1"/>
  <c r="G58" i="8"/>
  <c r="G59" i="8"/>
  <c r="U51" i="26" s="1"/>
  <c r="G60" i="8"/>
  <c r="G54" i="8"/>
  <c r="G46" i="8"/>
  <c r="G47" i="8"/>
  <c r="U39" i="26" s="1"/>
  <c r="G48" i="8"/>
  <c r="U40" i="26" s="1"/>
  <c r="G49" i="8"/>
  <c r="U41" i="26" s="1"/>
  <c r="G50" i="8"/>
  <c r="U42" i="26" s="1"/>
  <c r="G51" i="8"/>
  <c r="U43" i="26" s="1"/>
  <c r="G52" i="8"/>
  <c r="G45" i="8"/>
  <c r="G39" i="8"/>
  <c r="G40" i="8"/>
  <c r="U33" i="26" s="1"/>
  <c r="G41" i="8"/>
  <c r="G38" i="8"/>
  <c r="G11" i="8"/>
  <c r="G14" i="8"/>
  <c r="U7" i="26" s="1"/>
  <c r="G15" i="8"/>
  <c r="U8" i="26" s="1"/>
  <c r="G16" i="8"/>
  <c r="U9" i="26" s="1"/>
  <c r="G17" i="8"/>
  <c r="U10" i="26" s="1"/>
  <c r="G18" i="8"/>
  <c r="U11" i="26" s="1"/>
  <c r="G20" i="8"/>
  <c r="U13" i="26" s="1"/>
  <c r="G21" i="8"/>
  <c r="G22" i="8"/>
  <c r="U15" i="26" s="1"/>
  <c r="G23" i="8"/>
  <c r="G24" i="8"/>
  <c r="U17" i="26" s="1"/>
  <c r="G25" i="8"/>
  <c r="G26" i="8"/>
  <c r="U19" i="26" s="1"/>
  <c r="G28" i="8"/>
  <c r="G29" i="8"/>
  <c r="G30" i="8"/>
  <c r="U23" i="26" s="1"/>
  <c r="G31" i="8"/>
  <c r="U24" i="26" s="1"/>
  <c r="G32" i="8"/>
  <c r="U25" i="26" s="1"/>
  <c r="G33" i="8"/>
  <c r="U26" i="26" s="1"/>
  <c r="G34" i="8"/>
  <c r="U27" i="26" s="1"/>
  <c r="G35" i="8"/>
  <c r="U28" i="26" s="1"/>
  <c r="G36" i="8"/>
  <c r="U29" i="26" s="1"/>
  <c r="G21" i="7"/>
  <c r="G22" i="7"/>
  <c r="G23" i="7"/>
  <c r="G24" i="7"/>
  <c r="G25" i="7"/>
  <c r="G26" i="7"/>
  <c r="G27" i="7"/>
  <c r="G11" i="7"/>
  <c r="G12" i="7"/>
  <c r="G13" i="7"/>
  <c r="G14" i="7"/>
  <c r="G15" i="7"/>
  <c r="G16" i="7"/>
  <c r="G17" i="7"/>
  <c r="B10" i="6"/>
  <c r="P3" i="24" s="1"/>
  <c r="B18" i="6"/>
  <c r="B28" i="6"/>
  <c r="B38" i="6"/>
  <c r="B48" i="6"/>
  <c r="P41" i="24" s="1"/>
  <c r="B58" i="6"/>
  <c r="B71" i="6"/>
  <c r="P64" i="24" s="1"/>
  <c r="B75" i="6"/>
  <c r="G152" i="6"/>
  <c r="U144" i="24" s="1"/>
  <c r="G153" i="6"/>
  <c r="G154" i="6"/>
  <c r="U146" i="24" s="1"/>
  <c r="G155" i="6"/>
  <c r="G156" i="6"/>
  <c r="U148" i="24" s="1"/>
  <c r="G157" i="6"/>
  <c r="G151" i="6"/>
  <c r="U143" i="24" s="1"/>
  <c r="G148" i="6"/>
  <c r="G149" i="6"/>
  <c r="G147" i="6"/>
  <c r="G139" i="6"/>
  <c r="U131" i="24" s="1"/>
  <c r="G140" i="6"/>
  <c r="G141" i="6"/>
  <c r="U133" i="24" s="1"/>
  <c r="G142" i="6"/>
  <c r="G143" i="6"/>
  <c r="U135" i="24" s="1"/>
  <c r="G144" i="6"/>
  <c r="G145" i="6"/>
  <c r="U137" i="24" s="1"/>
  <c r="G138" i="6"/>
  <c r="G135" i="6"/>
  <c r="U127" i="24" s="1"/>
  <c r="G136" i="6"/>
  <c r="G134" i="6"/>
  <c r="G133" i="6" s="1"/>
  <c r="U125" i="24" s="1"/>
  <c r="G125" i="6"/>
  <c r="G126" i="6"/>
  <c r="U118" i="24" s="1"/>
  <c r="G127" i="6"/>
  <c r="G128" i="6"/>
  <c r="U120" i="24" s="1"/>
  <c r="G129" i="6"/>
  <c r="G130" i="6"/>
  <c r="U122" i="24" s="1"/>
  <c r="G131" i="6"/>
  <c r="G132" i="6"/>
  <c r="U124" i="24" s="1"/>
  <c r="G124" i="6"/>
  <c r="G115" i="6"/>
  <c r="U107" i="24" s="1"/>
  <c r="G116" i="6"/>
  <c r="G117" i="6"/>
  <c r="U109" i="24" s="1"/>
  <c r="G118" i="6"/>
  <c r="G119" i="6"/>
  <c r="U111" i="24" s="1"/>
  <c r="G120" i="6"/>
  <c r="G121" i="6"/>
  <c r="U113" i="24" s="1"/>
  <c r="G122" i="6"/>
  <c r="G114" i="6"/>
  <c r="G105" i="6"/>
  <c r="G106" i="6"/>
  <c r="U98" i="24" s="1"/>
  <c r="G107" i="6"/>
  <c r="G108" i="6"/>
  <c r="U100" i="24" s="1"/>
  <c r="G109" i="6"/>
  <c r="G110" i="6"/>
  <c r="U102" i="24" s="1"/>
  <c r="G111" i="6"/>
  <c r="G112" i="6"/>
  <c r="U104" i="24" s="1"/>
  <c r="G104" i="6"/>
  <c r="G95" i="6"/>
  <c r="U87" i="24" s="1"/>
  <c r="G96" i="6"/>
  <c r="G97" i="6"/>
  <c r="U89" i="24" s="1"/>
  <c r="G98" i="6"/>
  <c r="G99" i="6"/>
  <c r="U91" i="24" s="1"/>
  <c r="G100" i="6"/>
  <c r="G101" i="6"/>
  <c r="U93" i="24" s="1"/>
  <c r="G102" i="6"/>
  <c r="G94" i="6"/>
  <c r="U86" i="24" s="1"/>
  <c r="G87" i="6"/>
  <c r="G88" i="6"/>
  <c r="U80" i="24" s="1"/>
  <c r="G89" i="6"/>
  <c r="G90" i="6"/>
  <c r="U82" i="24" s="1"/>
  <c r="G91" i="6"/>
  <c r="G92" i="6"/>
  <c r="U84" i="24" s="1"/>
  <c r="G86" i="6"/>
  <c r="G77" i="6"/>
  <c r="U70" i="24" s="1"/>
  <c r="G78" i="6"/>
  <c r="G79" i="6"/>
  <c r="U72" i="24" s="1"/>
  <c r="G80" i="6"/>
  <c r="G81" i="6"/>
  <c r="U74" i="24" s="1"/>
  <c r="G82" i="6"/>
  <c r="G76" i="6"/>
  <c r="G73" i="6"/>
  <c r="G74" i="6"/>
  <c r="G71" i="6" s="1"/>
  <c r="U64" i="24" s="1"/>
  <c r="G72" i="6"/>
  <c r="G64" i="6"/>
  <c r="U57" i="24" s="1"/>
  <c r="G65" i="6"/>
  <c r="U58" i="24" s="1"/>
  <c r="G66" i="6"/>
  <c r="U59" i="24" s="1"/>
  <c r="G67" i="6"/>
  <c r="G68" i="6"/>
  <c r="U61" i="24" s="1"/>
  <c r="G69" i="6"/>
  <c r="U62" i="24" s="1"/>
  <c r="G70" i="6"/>
  <c r="U63" i="24" s="1"/>
  <c r="G63" i="6"/>
  <c r="G60" i="6"/>
  <c r="U53" i="24" s="1"/>
  <c r="G61" i="6"/>
  <c r="G59" i="6"/>
  <c r="G58" i="6" s="1"/>
  <c r="U51" i="24" s="1"/>
  <c r="G50" i="6"/>
  <c r="G51" i="6"/>
  <c r="G52" i="6"/>
  <c r="G53" i="6"/>
  <c r="U46" i="24" s="1"/>
  <c r="G54" i="6"/>
  <c r="G55" i="6"/>
  <c r="U48" i="24" s="1"/>
  <c r="G56" i="6"/>
  <c r="G57" i="6"/>
  <c r="U50" i="24" s="1"/>
  <c r="G49" i="6"/>
  <c r="G40" i="6"/>
  <c r="U33" i="24" s="1"/>
  <c r="G41" i="6"/>
  <c r="G42" i="6"/>
  <c r="U35" i="24" s="1"/>
  <c r="G43" i="6"/>
  <c r="G44" i="6"/>
  <c r="U37" i="24" s="1"/>
  <c r="G45" i="6"/>
  <c r="G46" i="6"/>
  <c r="U39" i="24" s="1"/>
  <c r="G47" i="6"/>
  <c r="G39" i="6"/>
  <c r="G30" i="6"/>
  <c r="G31" i="6"/>
  <c r="G32" i="6"/>
  <c r="G33" i="6"/>
  <c r="U26" i="24" s="1"/>
  <c r="G34" i="6"/>
  <c r="G35" i="6"/>
  <c r="U28" i="24" s="1"/>
  <c r="G36" i="6"/>
  <c r="G37" i="6"/>
  <c r="U30" i="24" s="1"/>
  <c r="G29" i="6"/>
  <c r="G20" i="6"/>
  <c r="U13" i="24" s="1"/>
  <c r="G21" i="6"/>
  <c r="G22" i="6"/>
  <c r="U15" i="24" s="1"/>
  <c r="G23" i="6"/>
  <c r="G24" i="6"/>
  <c r="U17" i="24" s="1"/>
  <c r="G25" i="6"/>
  <c r="G26" i="6"/>
  <c r="U19" i="24" s="1"/>
  <c r="G27" i="6"/>
  <c r="G19" i="6"/>
  <c r="U12" i="24" s="1"/>
  <c r="G11" i="6"/>
  <c r="B7" i="13"/>
  <c r="G12" i="6"/>
  <c r="G13" i="6"/>
  <c r="G14" i="6"/>
  <c r="U7" i="24" s="1"/>
  <c r="G15" i="6"/>
  <c r="G16" i="6"/>
  <c r="U9" i="24" s="1"/>
  <c r="G17" i="6"/>
  <c r="G9" i="5"/>
  <c r="G10" i="5"/>
  <c r="G11" i="5"/>
  <c r="G12" i="5"/>
  <c r="G13" i="5"/>
  <c r="G14" i="5"/>
  <c r="U8" i="20" s="1"/>
  <c r="G15" i="5"/>
  <c r="U9" i="20" s="1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D29" i="13" s="1"/>
  <c r="R22" i="31" s="1"/>
  <c r="E7" i="13"/>
  <c r="E29" i="13"/>
  <c r="S22" i="31" s="1"/>
  <c r="F7" i="13"/>
  <c r="G7" i="13"/>
  <c r="G29" i="13" s="1"/>
  <c r="U22" i="31" s="1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 s="1"/>
  <c r="C7" i="12"/>
  <c r="D7" i="12"/>
  <c r="D31" i="12" s="1"/>
  <c r="R23" i="30" s="1"/>
  <c r="E7" i="12"/>
  <c r="F7" i="12"/>
  <c r="F31" i="12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 s="1"/>
  <c r="C8" i="11"/>
  <c r="D8" i="11"/>
  <c r="D30" i="11" s="1"/>
  <c r="R22" i="29" s="1"/>
  <c r="E8" i="11"/>
  <c r="F8" i="11"/>
  <c r="F30" i="11"/>
  <c r="T22" i="29" s="1"/>
  <c r="G8" i="11"/>
  <c r="R2" i="29"/>
  <c r="T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E22" i="10"/>
  <c r="S15" i="28" s="1"/>
  <c r="F22" i="10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C32" i="10" s="1"/>
  <c r="Q23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E32" i="10"/>
  <c r="S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 s="1"/>
  <c r="Q2" i="27" s="1"/>
  <c r="C16" i="9"/>
  <c r="D12" i="9"/>
  <c r="R5" i="27" s="1"/>
  <c r="D16" i="9"/>
  <c r="D9" i="9"/>
  <c r="R2" i="27" s="1"/>
  <c r="E12" i="9"/>
  <c r="E16" i="9"/>
  <c r="E9" i="9" s="1"/>
  <c r="S2" i="27" s="1"/>
  <c r="F12" i="9"/>
  <c r="T5" i="27" s="1"/>
  <c r="F16" i="9"/>
  <c r="Q3" i="27"/>
  <c r="R3" i="27"/>
  <c r="S3" i="27"/>
  <c r="T3" i="27"/>
  <c r="Q4" i="27"/>
  <c r="R4" i="27"/>
  <c r="S4" i="27"/>
  <c r="T4" i="27"/>
  <c r="U4" i="27"/>
  <c r="Q5" i="27"/>
  <c r="S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Q16" i="27" s="1"/>
  <c r="C28" i="9"/>
  <c r="D24" i="9"/>
  <c r="R16" i="27" s="1"/>
  <c r="D28" i="9"/>
  <c r="D21" i="9" s="1"/>
  <c r="E24" i="9"/>
  <c r="E28" i="9"/>
  <c r="E21" i="9"/>
  <c r="F24" i="9"/>
  <c r="T16" i="27" s="1"/>
  <c r="F28" i="9"/>
  <c r="F21" i="9" s="1"/>
  <c r="G24" i="9"/>
  <c r="U16" i="27" s="1"/>
  <c r="G28" i="9"/>
  <c r="Q14" i="27"/>
  <c r="R14" i="27"/>
  <c r="S14" i="27"/>
  <c r="T14" i="27"/>
  <c r="Q15" i="27"/>
  <c r="R15" i="27"/>
  <c r="S15" i="27"/>
  <c r="T15" i="27"/>
  <c r="U15" i="27"/>
  <c r="S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B28" i="9"/>
  <c r="B21" i="9" s="1"/>
  <c r="P14" i="27"/>
  <c r="P15" i="27"/>
  <c r="P16" i="27"/>
  <c r="P17" i="27"/>
  <c r="P18" i="27"/>
  <c r="P19" i="27"/>
  <c r="P20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D19" i="8"/>
  <c r="D27" i="8"/>
  <c r="R20" i="26" s="1"/>
  <c r="D37" i="8"/>
  <c r="R30" i="26" s="1"/>
  <c r="E10" i="8"/>
  <c r="S3" i="26" s="1"/>
  <c r="E19" i="8"/>
  <c r="S12" i="26" s="1"/>
  <c r="E27" i="8"/>
  <c r="S20" i="26" s="1"/>
  <c r="E37" i="8"/>
  <c r="S30" i="26" s="1"/>
  <c r="F10" i="8"/>
  <c r="T3" i="26" s="1"/>
  <c r="F19" i="8"/>
  <c r="F27" i="8"/>
  <c r="T20" i="26" s="1"/>
  <c r="F37" i="8"/>
  <c r="T30" i="26" s="1"/>
  <c r="R3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Q10" i="26"/>
  <c r="R10" i="26"/>
  <c r="S10" i="26"/>
  <c r="T10" i="26"/>
  <c r="Q11" i="26"/>
  <c r="R11" i="26"/>
  <c r="S11" i="26"/>
  <c r="T11" i="26"/>
  <c r="Q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U18" i="26"/>
  <c r="Q19" i="26"/>
  <c r="R19" i="26"/>
  <c r="S19" i="26"/>
  <c r="T19" i="26"/>
  <c r="Q21" i="26"/>
  <c r="R21" i="26"/>
  <c r="S21" i="26"/>
  <c r="T21" i="26"/>
  <c r="Q22" i="26"/>
  <c r="R22" i="26"/>
  <c r="S22" i="26"/>
  <c r="T22" i="26"/>
  <c r="U22" i="26"/>
  <c r="Q23" i="26"/>
  <c r="R23" i="26"/>
  <c r="S23" i="26"/>
  <c r="T23" i="26"/>
  <c r="Q24" i="26"/>
  <c r="R24" i="26"/>
  <c r="S24" i="26"/>
  <c r="T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Q29" i="26"/>
  <c r="R29" i="26"/>
  <c r="S29" i="26"/>
  <c r="T29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C53" i="8"/>
  <c r="C61" i="8"/>
  <c r="Q53" i="26" s="1"/>
  <c r="C71" i="8"/>
  <c r="Q63" i="26" s="1"/>
  <c r="D44" i="8"/>
  <c r="R36" i="26" s="1"/>
  <c r="D53" i="8"/>
  <c r="R45" i="26" s="1"/>
  <c r="D61" i="8"/>
  <c r="R53" i="26" s="1"/>
  <c r="D71" i="8"/>
  <c r="E44" i="8"/>
  <c r="S36" i="26" s="1"/>
  <c r="E53" i="8"/>
  <c r="E61" i="8"/>
  <c r="E71" i="8"/>
  <c r="S63" i="26" s="1"/>
  <c r="F44" i="8"/>
  <c r="T36" i="26" s="1"/>
  <c r="F53" i="8"/>
  <c r="F61" i="8"/>
  <c r="T53" i="26" s="1"/>
  <c r="F71" i="8"/>
  <c r="T63" i="26" s="1"/>
  <c r="Q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Q40" i="26"/>
  <c r="R40" i="26"/>
  <c r="S40" i="26"/>
  <c r="T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Q44" i="26"/>
  <c r="R44" i="26"/>
  <c r="S44" i="26"/>
  <c r="T44" i="26"/>
  <c r="U44" i="26"/>
  <c r="T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S53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U58" i="26"/>
  <c r="Q59" i="26"/>
  <c r="R59" i="26"/>
  <c r="S59" i="26"/>
  <c r="T59" i="26"/>
  <c r="Q60" i="26"/>
  <c r="R60" i="26"/>
  <c r="S60" i="26"/>
  <c r="T60" i="26"/>
  <c r="U60" i="26"/>
  <c r="Q61" i="26"/>
  <c r="R61" i="26"/>
  <c r="S61" i="26"/>
  <c r="T61" i="26"/>
  <c r="Q62" i="26"/>
  <c r="R62" i="26"/>
  <c r="S62" i="26"/>
  <c r="T62" i="26"/>
  <c r="U62" i="26"/>
  <c r="R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B44" i="8"/>
  <c r="P36" i="26" s="1"/>
  <c r="B53" i="8"/>
  <c r="B61" i="8"/>
  <c r="P53" i="26" s="1"/>
  <c r="B71" i="8"/>
  <c r="P63" i="26" s="1"/>
  <c r="B10" i="8"/>
  <c r="P3" i="26" s="1"/>
  <c r="B19" i="8"/>
  <c r="B27" i="8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A3" i="25"/>
  <c r="A4" i="25"/>
  <c r="A2" i="25"/>
  <c r="A87" i="24"/>
  <c r="C85" i="6"/>
  <c r="Q77" i="24" s="1"/>
  <c r="C93" i="6"/>
  <c r="C103" i="6"/>
  <c r="Q95" i="24" s="1"/>
  <c r="C113" i="6"/>
  <c r="Q105" i="24" s="1"/>
  <c r="C123" i="6"/>
  <c r="Q115" i="24" s="1"/>
  <c r="C133" i="6"/>
  <c r="Q125" i="24" s="1"/>
  <c r="C146" i="6"/>
  <c r="Q138" i="24" s="1"/>
  <c r="C150" i="6"/>
  <c r="D85" i="6"/>
  <c r="R77" i="24" s="1"/>
  <c r="D93" i="6"/>
  <c r="D103" i="6"/>
  <c r="R95" i="24" s="1"/>
  <c r="D113" i="6"/>
  <c r="D123" i="6"/>
  <c r="R115" i="24" s="1"/>
  <c r="D133" i="6"/>
  <c r="D146" i="6"/>
  <c r="R138" i="24" s="1"/>
  <c r="D150" i="6"/>
  <c r="R142" i="24" s="1"/>
  <c r="E85" i="6"/>
  <c r="S77" i="24" s="1"/>
  <c r="E93" i="6"/>
  <c r="E103" i="6"/>
  <c r="S95" i="24" s="1"/>
  <c r="E113" i="6"/>
  <c r="S105" i="24" s="1"/>
  <c r="E123" i="6"/>
  <c r="S115" i="24" s="1"/>
  <c r="E133" i="6"/>
  <c r="S125" i="24" s="1"/>
  <c r="E146" i="6"/>
  <c r="S138" i="24" s="1"/>
  <c r="E150" i="6"/>
  <c r="F85" i="6"/>
  <c r="T77" i="24" s="1"/>
  <c r="F93" i="6"/>
  <c r="F103" i="6"/>
  <c r="T95" i="24" s="1"/>
  <c r="F113" i="6"/>
  <c r="T105" i="24" s="1"/>
  <c r="F123" i="6"/>
  <c r="T115" i="24" s="1"/>
  <c r="F133" i="6"/>
  <c r="T125" i="24" s="1"/>
  <c r="F146" i="6"/>
  <c r="T138" i="24" s="1"/>
  <c r="F150" i="6"/>
  <c r="T142" i="24" s="1"/>
  <c r="G93" i="6"/>
  <c r="U85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U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R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U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R105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U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R125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U128" i="24"/>
  <c r="Q129" i="24"/>
  <c r="S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U132" i="24"/>
  <c r="Q133" i="24"/>
  <c r="R133" i="24"/>
  <c r="S133" i="24"/>
  <c r="T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U136" i="24"/>
  <c r="Q137" i="24"/>
  <c r="R137" i="24"/>
  <c r="S137" i="24"/>
  <c r="T137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S142" i="24"/>
  <c r="Q143" i="24"/>
  <c r="R143" i="24"/>
  <c r="S143" i="24"/>
  <c r="T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U147" i="24"/>
  <c r="Q148" i="24"/>
  <c r="R148" i="24"/>
  <c r="S148" i="24"/>
  <c r="T148" i="24"/>
  <c r="Q149" i="24"/>
  <c r="R149" i="24"/>
  <c r="S149" i="24"/>
  <c r="T149" i="24"/>
  <c r="U149" i="24"/>
  <c r="C10" i="6"/>
  <c r="Q3" i="24" s="1"/>
  <c r="C18" i="6"/>
  <c r="C28" i="6"/>
  <c r="Q21" i="24" s="1"/>
  <c r="C38" i="6"/>
  <c r="Q31" i="24" s="1"/>
  <c r="C48" i="6"/>
  <c r="Q41" i="24" s="1"/>
  <c r="C58" i="6"/>
  <c r="Q51" i="24" s="1"/>
  <c r="C71" i="6"/>
  <c r="Q64" i="24" s="1"/>
  <c r="C75" i="6"/>
  <c r="Q68" i="24" s="1"/>
  <c r="D10" i="6"/>
  <c r="R3" i="24" s="1"/>
  <c r="D18" i="6"/>
  <c r="R11" i="24" s="1"/>
  <c r="D28" i="6"/>
  <c r="R21" i="24" s="1"/>
  <c r="D38" i="6"/>
  <c r="D48" i="6"/>
  <c r="R41" i="24" s="1"/>
  <c r="D58" i="6"/>
  <c r="R51" i="24" s="1"/>
  <c r="D71" i="6"/>
  <c r="R64" i="24" s="1"/>
  <c r="D75" i="6"/>
  <c r="E10" i="6"/>
  <c r="S3" i="24" s="1"/>
  <c r="E18" i="6"/>
  <c r="E28" i="6"/>
  <c r="S21" i="24" s="1"/>
  <c r="E38" i="6"/>
  <c r="S31" i="24" s="1"/>
  <c r="E48" i="6"/>
  <c r="S41" i="24" s="1"/>
  <c r="E58" i="6"/>
  <c r="S51" i="24" s="1"/>
  <c r="E71" i="6"/>
  <c r="S64" i="24" s="1"/>
  <c r="E75" i="6"/>
  <c r="S68" i="24" s="1"/>
  <c r="F10" i="6"/>
  <c r="T3" i="24" s="1"/>
  <c r="F18" i="6"/>
  <c r="F28" i="6"/>
  <c r="F38" i="6"/>
  <c r="T31" i="24" s="1"/>
  <c r="F48" i="6"/>
  <c r="T41" i="24" s="1"/>
  <c r="F58" i="6"/>
  <c r="T51" i="24" s="1"/>
  <c r="F71" i="6"/>
  <c r="F75" i="6"/>
  <c r="T68" i="24" s="1"/>
  <c r="B85" i="6"/>
  <c r="B93" i="6"/>
  <c r="P85" i="24" s="1"/>
  <c r="B103" i="6"/>
  <c r="P95" i="24" s="1"/>
  <c r="B113" i="6"/>
  <c r="P105" i="24" s="1"/>
  <c r="B123" i="6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Q8" i="24"/>
  <c r="R8" i="24"/>
  <c r="S8" i="24"/>
  <c r="T8" i="24"/>
  <c r="U8" i="24"/>
  <c r="Q9" i="24"/>
  <c r="R9" i="24"/>
  <c r="S9" i="24"/>
  <c r="T9" i="24"/>
  <c r="Q10" i="24"/>
  <c r="R10" i="24"/>
  <c r="S10" i="24"/>
  <c r="T10" i="24"/>
  <c r="U10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R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U40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Q52" i="24"/>
  <c r="R52" i="24"/>
  <c r="S52" i="24"/>
  <c r="T52" i="24"/>
  <c r="Q53" i="24"/>
  <c r="R53" i="24"/>
  <c r="S53" i="24"/>
  <c r="T53" i="24"/>
  <c r="Q54" i="24"/>
  <c r="R54" i="24"/>
  <c r="S54" i="24"/>
  <c r="T54" i="24"/>
  <c r="U54" i="24"/>
  <c r="R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R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30" i="20"/>
  <c r="U32" i="20"/>
  <c r="U33" i="20"/>
  <c r="G46" i="5"/>
  <c r="G47" i="5"/>
  <c r="G48" i="5"/>
  <c r="G49" i="5"/>
  <c r="G50" i="5"/>
  <c r="U42" i="20" s="1"/>
  <c r="G51" i="5"/>
  <c r="G52" i="5"/>
  <c r="G53" i="5"/>
  <c r="U38" i="20"/>
  <c r="U39" i="20"/>
  <c r="U40" i="20"/>
  <c r="U41" i="20"/>
  <c r="U43" i="20"/>
  <c r="U44" i="20"/>
  <c r="U45" i="20"/>
  <c r="G55" i="5"/>
  <c r="U47" i="20" s="1"/>
  <c r="G56" i="5"/>
  <c r="G57" i="5"/>
  <c r="U49" i="20" s="1"/>
  <c r="G58" i="5"/>
  <c r="U50" i="20" s="1"/>
  <c r="G60" i="5"/>
  <c r="G61" i="5"/>
  <c r="U52" i="20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C45" i="5"/>
  <c r="Q37" i="20" s="1"/>
  <c r="D45" i="5"/>
  <c r="R37" i="20" s="1"/>
  <c r="E45" i="5"/>
  <c r="S37" i="20" s="1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F65" i="5" s="1"/>
  <c r="T56" i="20" s="1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B59" i="5"/>
  <c r="P51" i="20" s="1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2" i="20"/>
  <c r="P53" i="20"/>
  <c r="P54" i="20"/>
  <c r="P55" i="20"/>
  <c r="B16" i="5"/>
  <c r="P10" i="20" s="1"/>
  <c r="B28" i="5"/>
  <c r="B35" i="5"/>
  <c r="P29" i="20" s="1"/>
  <c r="B37" i="5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B6" i="1" s="1"/>
  <c r="F18" i="23"/>
  <c r="K6" i="3" s="1"/>
  <c r="E18" i="23"/>
  <c r="J6" i="3" s="1"/>
  <c r="D18" i="23"/>
  <c r="I6" i="3" s="1"/>
  <c r="F6" i="1"/>
  <c r="E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E6" i="10"/>
  <c r="C6" i="10"/>
  <c r="G5" i="13"/>
  <c r="G5" i="12"/>
  <c r="C11" i="23"/>
  <c r="A2" i="13" s="1"/>
  <c r="A2" i="14"/>
  <c r="A5" i="9"/>
  <c r="A5" i="8"/>
  <c r="A5" i="7"/>
  <c r="A5" i="6"/>
  <c r="A4" i="5"/>
  <c r="A4" i="4"/>
  <c r="A4" i="3"/>
  <c r="A4" i="2"/>
  <c r="A4" i="1"/>
  <c r="K14" i="3"/>
  <c r="Y4" i="17" s="1"/>
  <c r="J14" i="3"/>
  <c r="X4" i="17"/>
  <c r="I14" i="3"/>
  <c r="I8" i="3"/>
  <c r="I20" i="3" s="1"/>
  <c r="W5" i="17" s="1"/>
  <c r="H14" i="3"/>
  <c r="G14" i="3"/>
  <c r="U4" i="17" s="1"/>
  <c r="E14" i="3"/>
  <c r="K8" i="3"/>
  <c r="J8" i="3"/>
  <c r="J20" i="3" s="1"/>
  <c r="X5" i="17" s="1"/>
  <c r="H8" i="3"/>
  <c r="H20" i="3" s="1"/>
  <c r="V5" i="17" s="1"/>
  <c r="G8" i="3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E27" i="2"/>
  <c r="S15" i="16" s="1"/>
  <c r="D27" i="2"/>
  <c r="C27" i="2"/>
  <c r="Q15" i="16" s="1"/>
  <c r="B41" i="2"/>
  <c r="B27" i="2"/>
  <c r="P15" i="16" s="1"/>
  <c r="H22" i="2"/>
  <c r="V14" i="16" s="1"/>
  <c r="G22" i="2"/>
  <c r="U14" i="16" s="1"/>
  <c r="F22" i="2"/>
  <c r="E22" i="2"/>
  <c r="T14" i="16" s="1"/>
  <c r="D22" i="2"/>
  <c r="C22" i="2"/>
  <c r="Q14" i="16" s="1"/>
  <c r="B22" i="2"/>
  <c r="E20" i="3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B63" i="4"/>
  <c r="B55" i="4"/>
  <c r="B53" i="4"/>
  <c r="P30" i="18" s="1"/>
  <c r="B49" i="4"/>
  <c r="P27" i="18" s="1"/>
  <c r="B37" i="4"/>
  <c r="B44" i="4" s="1"/>
  <c r="B11" i="4" s="1"/>
  <c r="P5" i="18" s="1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3" i="18"/>
  <c r="P34" i="18"/>
  <c r="P35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F38" i="1"/>
  <c r="Q87" i="15" s="1"/>
  <c r="F42" i="1"/>
  <c r="Q91" i="15" s="1"/>
  <c r="F63" i="1"/>
  <c r="Q106" i="15" s="1"/>
  <c r="Q107" i="15"/>
  <c r="Q108" i="15"/>
  <c r="Q109" i="15"/>
  <c r="F68" i="1"/>
  <c r="Q110" i="15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E27" i="1"/>
  <c r="E31" i="1"/>
  <c r="P80" i="15" s="1"/>
  <c r="E38" i="1"/>
  <c r="E42" i="1"/>
  <c r="E57" i="1"/>
  <c r="P103" i="15" s="1"/>
  <c r="E63" i="1"/>
  <c r="E68" i="1"/>
  <c r="E75" i="1"/>
  <c r="P116" i="15" s="1"/>
  <c r="P117" i="15"/>
  <c r="P118" i="15"/>
  <c r="P111" i="15"/>
  <c r="P112" i="15"/>
  <c r="P113" i="15"/>
  <c r="P114" i="15"/>
  <c r="P115" i="15"/>
  <c r="P110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P91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 s="1"/>
  <c r="C68" i="4"/>
  <c r="D68" i="4"/>
  <c r="R36" i="18" s="1"/>
  <c r="C64" i="4"/>
  <c r="D64" i="4"/>
  <c r="R33" i="18" s="1"/>
  <c r="C63" i="4"/>
  <c r="Q32" i="18" s="1"/>
  <c r="D63" i="4"/>
  <c r="R32" i="18" s="1"/>
  <c r="C48" i="4"/>
  <c r="C55" i="4"/>
  <c r="Q31" i="18" s="1"/>
  <c r="D55" i="4"/>
  <c r="R31" i="18" s="1"/>
  <c r="C53" i="4"/>
  <c r="D53" i="4"/>
  <c r="D48" i="4"/>
  <c r="R26" i="18" s="1"/>
  <c r="C49" i="4"/>
  <c r="D49" i="4"/>
  <c r="R27" i="18" s="1"/>
  <c r="C29" i="4"/>
  <c r="D29" i="4"/>
  <c r="C40" i="4"/>
  <c r="Q22" i="18" s="1"/>
  <c r="D40" i="4"/>
  <c r="R22" i="18" s="1"/>
  <c r="C37" i="4"/>
  <c r="D37" i="4"/>
  <c r="R19" i="18" s="1"/>
  <c r="C17" i="4"/>
  <c r="C13" i="4"/>
  <c r="Q6" i="18" s="1"/>
  <c r="D13" i="4"/>
  <c r="R6" i="18" s="1"/>
  <c r="W4" i="17"/>
  <c r="V4" i="17"/>
  <c r="X3" i="17"/>
  <c r="S4" i="17"/>
  <c r="S17" i="16"/>
  <c r="P17" i="16"/>
  <c r="R15" i="16"/>
  <c r="T15" i="16"/>
  <c r="V15" i="16"/>
  <c r="R14" i="16"/>
  <c r="P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Q30" i="18"/>
  <c r="Q9" i="18"/>
  <c r="Q27" i="18"/>
  <c r="Q36" i="18"/>
  <c r="R15" i="18"/>
  <c r="Q19" i="18"/>
  <c r="Q15" i="18"/>
  <c r="R30" i="18"/>
  <c r="Q26" i="18"/>
  <c r="Q33" i="18"/>
  <c r="Q37" i="18"/>
  <c r="S5" i="17"/>
  <c r="D57" i="4"/>
  <c r="D59" i="4" s="1"/>
  <c r="C44" i="4"/>
  <c r="Q25" i="18" s="1"/>
  <c r="C8" i="2"/>
  <c r="C20" i="2" s="1"/>
  <c r="Q13" i="16" s="1"/>
  <c r="C11" i="4"/>
  <c r="C8" i="4" s="1"/>
  <c r="Q67" i="15"/>
  <c r="V3" i="17"/>
  <c r="U3" i="17"/>
  <c r="T13" i="27" l="1"/>
  <c r="R13" i="27"/>
  <c r="D33" i="9"/>
  <c r="R24" i="27" s="1"/>
  <c r="S14" i="16"/>
  <c r="F79" i="1"/>
  <c r="Q119" i="15" s="1"/>
  <c r="G20" i="3"/>
  <c r="U5" i="17" s="1"/>
  <c r="D6" i="10"/>
  <c r="E41" i="5"/>
  <c r="S34" i="20" s="1"/>
  <c r="G59" i="5"/>
  <c r="U51" i="20" s="1"/>
  <c r="G32" i="10"/>
  <c r="U23" i="28" s="1"/>
  <c r="Q21" i="28"/>
  <c r="Q2" i="31"/>
  <c r="G75" i="6"/>
  <c r="U68" i="24" s="1"/>
  <c r="G113" i="6"/>
  <c r="U105" i="24" s="1"/>
  <c r="D8" i="2"/>
  <c r="D20" i="2" s="1"/>
  <c r="R13" i="16" s="1"/>
  <c r="B72" i="4"/>
  <c r="B41" i="5"/>
  <c r="P34" i="20" s="1"/>
  <c r="G75" i="5"/>
  <c r="U62" i="20" s="1"/>
  <c r="G21" i="9"/>
  <c r="C21" i="9"/>
  <c r="F9" i="9"/>
  <c r="T2" i="27" s="1"/>
  <c r="U2" i="31"/>
  <c r="C21" i="4"/>
  <c r="B8" i="2"/>
  <c r="A2" i="10"/>
  <c r="B6" i="10"/>
  <c r="F6" i="10"/>
  <c r="G37" i="5"/>
  <c r="U31" i="20" s="1"/>
  <c r="G18" i="6"/>
  <c r="U11" i="24" s="1"/>
  <c r="B43" i="8"/>
  <c r="P45" i="26"/>
  <c r="C9" i="8"/>
  <c r="Q2" i="26" s="1"/>
  <c r="G53" i="8"/>
  <c r="U45" i="26" s="1"/>
  <c r="G38" i="6"/>
  <c r="U31" i="24" s="1"/>
  <c r="E9" i="6"/>
  <c r="S11" i="24"/>
  <c r="G10" i="6"/>
  <c r="U3" i="24" s="1"/>
  <c r="G48" i="6"/>
  <c r="U41" i="24" s="1"/>
  <c r="U52" i="24"/>
  <c r="G28" i="6"/>
  <c r="U69" i="24"/>
  <c r="U67" i="24"/>
  <c r="U44" i="24"/>
  <c r="C9" i="6"/>
  <c r="U126" i="24"/>
  <c r="U32" i="24"/>
  <c r="U24" i="24"/>
  <c r="Q11" i="24"/>
  <c r="U106" i="24"/>
  <c r="G150" i="6"/>
  <c r="U142" i="24" s="1"/>
  <c r="U58" i="20"/>
  <c r="U53" i="20"/>
  <c r="C65" i="5"/>
  <c r="Q56" i="20" s="1"/>
  <c r="E65" i="5"/>
  <c r="S56" i="20" s="1"/>
  <c r="D65" i="5"/>
  <c r="R56" i="20" s="1"/>
  <c r="F41" i="5"/>
  <c r="D41" i="5"/>
  <c r="Q5" i="18"/>
  <c r="C72" i="4"/>
  <c r="C57" i="4"/>
  <c r="C59" i="4" s="1"/>
  <c r="K20" i="3"/>
  <c r="Y5" i="17" s="1"/>
  <c r="Y3" i="17"/>
  <c r="W3" i="17"/>
  <c r="H8" i="2"/>
  <c r="H20" i="2" s="1"/>
  <c r="V13" i="16" s="1"/>
  <c r="F47" i="1"/>
  <c r="F59" i="1" s="1"/>
  <c r="Q104" i="15" s="1"/>
  <c r="C47" i="1"/>
  <c r="C62" i="1" s="1"/>
  <c r="Q54" i="15" s="1"/>
  <c r="A2" i="12"/>
  <c r="A2" i="11"/>
  <c r="F81" i="1"/>
  <c r="Q120" i="15" s="1"/>
  <c r="Q2" i="18"/>
  <c r="B57" i="4"/>
  <c r="B59" i="4" s="1"/>
  <c r="P26" i="18"/>
  <c r="B65" i="5"/>
  <c r="P37" i="20"/>
  <c r="G54" i="5"/>
  <c r="U46" i="20" s="1"/>
  <c r="U21" i="24"/>
  <c r="F84" i="6"/>
  <c r="T85" i="24"/>
  <c r="B9" i="8"/>
  <c r="P2" i="26" s="1"/>
  <c r="P12" i="26"/>
  <c r="P35" i="26"/>
  <c r="E43" i="8"/>
  <c r="S45" i="26"/>
  <c r="E9" i="8"/>
  <c r="S2" i="26" s="1"/>
  <c r="U13" i="27"/>
  <c r="S13" i="27"/>
  <c r="E33" i="9"/>
  <c r="S24" i="27" s="1"/>
  <c r="Q13" i="27"/>
  <c r="C33" i="9"/>
  <c r="Q24" i="27" s="1"/>
  <c r="P15" i="28"/>
  <c r="B32" i="10"/>
  <c r="P23" i="28" s="1"/>
  <c r="T15" i="28"/>
  <c r="F32" i="10"/>
  <c r="T23" i="28" s="1"/>
  <c r="R15" i="28"/>
  <c r="D32" i="10"/>
  <c r="R23" i="28" s="1"/>
  <c r="E31" i="12"/>
  <c r="S23" i="30" s="1"/>
  <c r="S2" i="30"/>
  <c r="Q3" i="16"/>
  <c r="R3" i="16"/>
  <c r="V3" i="16"/>
  <c r="B47" i="1"/>
  <c r="F8" i="2"/>
  <c r="E8" i="2"/>
  <c r="D44" i="4"/>
  <c r="G8" i="2"/>
  <c r="D72" i="4"/>
  <c r="E79" i="1"/>
  <c r="P119" i="15" s="1"/>
  <c r="P106" i="15"/>
  <c r="E47" i="1"/>
  <c r="P25" i="18"/>
  <c r="P32" i="18"/>
  <c r="B8" i="4"/>
  <c r="U48" i="20"/>
  <c r="G45" i="5"/>
  <c r="B84" i="6"/>
  <c r="F9" i="6"/>
  <c r="F10" i="7" s="1"/>
  <c r="F9" i="7" s="1"/>
  <c r="T2" i="25" s="1"/>
  <c r="T11" i="24"/>
  <c r="D84" i="6"/>
  <c r="C43" i="8"/>
  <c r="Q45" i="26"/>
  <c r="F29" i="13"/>
  <c r="T22" i="31" s="1"/>
  <c r="T2" i="31"/>
  <c r="G27" i="8"/>
  <c r="U20" i="26" s="1"/>
  <c r="U21" i="26"/>
  <c r="G10" i="8"/>
  <c r="U5" i="26"/>
  <c r="G37" i="8"/>
  <c r="U30" i="26" s="1"/>
  <c r="U31" i="26"/>
  <c r="G44" i="8"/>
  <c r="U37" i="26"/>
  <c r="G61" i="8"/>
  <c r="U53" i="26" s="1"/>
  <c r="D9" i="6"/>
  <c r="D10" i="7" s="1"/>
  <c r="E84" i="6"/>
  <c r="S85" i="24"/>
  <c r="C84" i="6"/>
  <c r="Q85" i="24"/>
  <c r="F43" i="8"/>
  <c r="D43" i="8"/>
  <c r="F9" i="8"/>
  <c r="T2" i="26" s="1"/>
  <c r="T12" i="26"/>
  <c r="D9" i="8"/>
  <c r="R2" i="26" s="1"/>
  <c r="R12" i="26"/>
  <c r="G31" i="12"/>
  <c r="U23" i="30" s="1"/>
  <c r="U2" i="30"/>
  <c r="C31" i="12"/>
  <c r="Q23" i="30" s="1"/>
  <c r="Q2" i="30"/>
  <c r="G16" i="5"/>
  <c r="U10" i="20" s="1"/>
  <c r="B29" i="13"/>
  <c r="P22" i="31" s="1"/>
  <c r="P2" i="31"/>
  <c r="G85" i="6"/>
  <c r="G103" i="6"/>
  <c r="U95" i="24" s="1"/>
  <c r="G123" i="6"/>
  <c r="U115" i="24" s="1"/>
  <c r="G146" i="6"/>
  <c r="U138" i="24" s="1"/>
  <c r="U141" i="24"/>
  <c r="U6" i="27"/>
  <c r="G12" i="9"/>
  <c r="A2" i="6"/>
  <c r="A2" i="9"/>
  <c r="P13" i="27"/>
  <c r="B33" i="9"/>
  <c r="P24" i="27" s="1"/>
  <c r="G30" i="11"/>
  <c r="U22" i="29" s="1"/>
  <c r="U2" i="29"/>
  <c r="E30" i="11"/>
  <c r="S22" i="29" s="1"/>
  <c r="S2" i="29"/>
  <c r="C30" i="11"/>
  <c r="Q22" i="29" s="1"/>
  <c r="Q2" i="29"/>
  <c r="G28" i="5"/>
  <c r="U22" i="20" s="1"/>
  <c r="G62" i="6"/>
  <c r="U55" i="24" s="1"/>
  <c r="G137" i="6"/>
  <c r="U129" i="24" s="1"/>
  <c r="B9" i="6"/>
  <c r="B10" i="7" s="1"/>
  <c r="B9" i="7" s="1"/>
  <c r="P2" i="25" s="1"/>
  <c r="G19" i="8"/>
  <c r="U12" i="26" s="1"/>
  <c r="Q2" i="24" l="1"/>
  <c r="C10" i="7"/>
  <c r="C9" i="7" s="1"/>
  <c r="S76" i="24"/>
  <c r="E20" i="7"/>
  <c r="E19" i="7" s="1"/>
  <c r="S3" i="25" s="1"/>
  <c r="P76" i="24"/>
  <c r="B20" i="7"/>
  <c r="B19" i="7" s="1"/>
  <c r="P3" i="25" s="1"/>
  <c r="S2" i="24"/>
  <c r="E10" i="7"/>
  <c r="E9" i="7" s="1"/>
  <c r="D9" i="7"/>
  <c r="G10" i="7"/>
  <c r="G9" i="7" s="1"/>
  <c r="R76" i="24"/>
  <c r="D20" i="7"/>
  <c r="F33" i="9"/>
  <c r="T24" i="27" s="1"/>
  <c r="Q76" i="24"/>
  <c r="C20" i="7"/>
  <c r="C19" i="7" s="1"/>
  <c r="Q3" i="25" s="1"/>
  <c r="T76" i="24"/>
  <c r="F20" i="7"/>
  <c r="F19" i="7" s="1"/>
  <c r="B20" i="2"/>
  <c r="P13" i="16" s="1"/>
  <c r="P3" i="16"/>
  <c r="B74" i="4"/>
  <c r="P39" i="18" s="1"/>
  <c r="P38" i="18"/>
  <c r="B77" i="8"/>
  <c r="P68" i="26" s="1"/>
  <c r="C159" i="6"/>
  <c r="Q150" i="24" s="1"/>
  <c r="C70" i="5"/>
  <c r="E70" i="5"/>
  <c r="R34" i="20"/>
  <c r="D70" i="5"/>
  <c r="T34" i="20"/>
  <c r="F70" i="5"/>
  <c r="C74" i="4"/>
  <c r="Q39" i="18" s="1"/>
  <c r="Q38" i="18"/>
  <c r="Q95" i="15"/>
  <c r="Q42" i="15"/>
  <c r="E59" i="1"/>
  <c r="P95" i="15"/>
  <c r="E20" i="2"/>
  <c r="S13" i="16" s="1"/>
  <c r="S3" i="16"/>
  <c r="G41" i="5"/>
  <c r="R35" i="26"/>
  <c r="D77" i="8"/>
  <c r="R68" i="26" s="1"/>
  <c r="R2" i="24"/>
  <c r="D159" i="6"/>
  <c r="R150" i="24" s="1"/>
  <c r="U36" i="26"/>
  <c r="G43" i="8"/>
  <c r="G9" i="8"/>
  <c r="U2" i="26" s="1"/>
  <c r="U3" i="26"/>
  <c r="Q35" i="26"/>
  <c r="C77" i="8"/>
  <c r="Q68" i="26" s="1"/>
  <c r="G20" i="2"/>
  <c r="U13" i="16" s="1"/>
  <c r="U3" i="16"/>
  <c r="P42" i="15"/>
  <c r="B62" i="1"/>
  <c r="P54" i="15" s="1"/>
  <c r="Q12" i="18"/>
  <c r="C23" i="4"/>
  <c r="B159" i="6"/>
  <c r="P150" i="24" s="1"/>
  <c r="P2" i="24"/>
  <c r="U5" i="27"/>
  <c r="G9" i="9"/>
  <c r="G84" i="6"/>
  <c r="U76" i="24" s="1"/>
  <c r="U77" i="24"/>
  <c r="T35" i="26"/>
  <c r="F77" i="8"/>
  <c r="T68" i="26" s="1"/>
  <c r="E159" i="6"/>
  <c r="S150" i="24" s="1"/>
  <c r="T2" i="24"/>
  <c r="F159" i="6"/>
  <c r="T150" i="24" s="1"/>
  <c r="G65" i="5"/>
  <c r="U56" i="20" s="1"/>
  <c r="U37" i="20"/>
  <c r="B21" i="4"/>
  <c r="P2" i="18"/>
  <c r="D74" i="4"/>
  <c r="R39" i="18" s="1"/>
  <c r="R38" i="18"/>
  <c r="R25" i="18"/>
  <c r="D11" i="4"/>
  <c r="T3" i="16"/>
  <c r="F20" i="2"/>
  <c r="T13" i="16" s="1"/>
  <c r="S35" i="26"/>
  <c r="E77" i="8"/>
  <c r="S68" i="26" s="1"/>
  <c r="G9" i="6"/>
  <c r="P56" i="20"/>
  <c r="B70" i="5"/>
  <c r="U2" i="25" l="1"/>
  <c r="B29" i="7"/>
  <c r="P4" i="25" s="1"/>
  <c r="F29" i="7"/>
  <c r="T4" i="25" s="1"/>
  <c r="T3" i="25"/>
  <c r="R2" i="25"/>
  <c r="Q2" i="25"/>
  <c r="C29" i="7"/>
  <c r="Q4" i="25" s="1"/>
  <c r="G20" i="7"/>
  <c r="G19" i="7" s="1"/>
  <c r="U3" i="25" s="1"/>
  <c r="D19" i="7"/>
  <c r="R3" i="25" s="1"/>
  <c r="S2" i="25"/>
  <c r="E29" i="7"/>
  <c r="S4" i="25" s="1"/>
  <c r="G159" i="6"/>
  <c r="U150" i="24" s="1"/>
  <c r="U2" i="24"/>
  <c r="P12" i="18"/>
  <c r="B23" i="4"/>
  <c r="U2" i="27"/>
  <c r="G33" i="9"/>
  <c r="U24" i="27" s="1"/>
  <c r="Q13" i="18"/>
  <c r="C25" i="4"/>
  <c r="U35" i="26"/>
  <c r="G77" i="8"/>
  <c r="U68" i="26" s="1"/>
  <c r="G42" i="5"/>
  <c r="U35" i="20" s="1"/>
  <c r="U34" i="20"/>
  <c r="G70" i="5"/>
  <c r="P104" i="15"/>
  <c r="E81" i="1"/>
  <c r="P120" i="15" s="1"/>
  <c r="R5" i="18"/>
  <c r="D8" i="4"/>
  <c r="D29" i="7" l="1"/>
  <c r="R4" i="25" s="1"/>
  <c r="G29" i="7"/>
  <c r="U4" i="25" s="1"/>
  <c r="Q14" i="18"/>
  <c r="C33" i="4"/>
  <c r="Q18" i="18" s="1"/>
  <c r="B25" i="4"/>
  <c r="P13" i="18"/>
  <c r="D21" i="4"/>
  <c r="R2" i="18"/>
  <c r="R12" i="18" l="1"/>
  <c r="D23" i="4"/>
  <c r="P14" i="18"/>
  <c r="B33" i="4"/>
  <c r="P18" i="18" s="1"/>
  <c r="R13" i="18" l="1"/>
  <c r="D25" i="4"/>
  <c r="D33" i="4" l="1"/>
  <c r="R18" i="18" s="1"/>
  <c r="R14" i="18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<sst xmlns="http://schemas.openxmlformats.org/spreadsheetml/2006/main" count="4243" uniqueCount="3305">
  <si>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</si>
  <si>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</si>
  <si>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</si>
  <si>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</si>
  <si>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</si>
  <si>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</si>
  <si>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</si>
  <si>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</si>
  <si>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</si>
  <si>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</si>
  <si>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</si>
  <si>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</si>
  <si>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</si>
  <si>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</si>
  <si>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</si>
  <si>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</si>
  <si>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</si>
  <si>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</si>
  <si>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</si>
  <si>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</si>
  <si>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</si>
  <si>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</si>
  <si>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</si>
  <si>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</si>
  <si>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</si>
  <si>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</si>
  <si>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</si>
  <si>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</si>
  <si>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</si>
  <si>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</si>
  <si>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</si>
  <si>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</si>
  <si>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</si>
  <si>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</si>
  <si>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</si>
  <si>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</si>
  <si>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</si>
  <si>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</si>
  <si>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</si>
  <si>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</si>
  <si>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</si>
  <si>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</si>
  <si>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</si>
  <si>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</si>
  <si>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</si>
  <si>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</si>
  <si>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</si>
  <si>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</si>
  <si>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</si>
  <si>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</si>
  <si>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</si>
  <si>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</si>
  <si>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</si>
  <si>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</si>
  <si>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</si>
  <si>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</si>
  <si>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</si>
  <si>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</si>
  <si>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</si>
  <si>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</si>
  <si>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</si>
  <si>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</si>
  <si>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</si>
  <si>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</si>
  <si>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</si>
  <si>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</si>
  <si>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</si>
  <si>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</si>
  <si>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</si>
  <si>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</si>
  <si>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</si>
  <si>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</si>
  <si>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</si>
  <si>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</si>
  <si>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</si>
  <si>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</si>
  <si>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</si>
  <si>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</si>
  <si>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</si>
  <si>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</si>
  <si>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</si>
  <si>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</si>
  <si>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</si>
  <si>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</si>
  <si>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</si>
  <si>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</si>
  <si>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</si>
  <si>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</si>
  <si>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</si>
  <si>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</si>
  <si>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</si>
  <si>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</si>
  <si>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</si>
  <si>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</si>
  <si>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</si>
  <si>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</si>
  <si>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</si>
  <si>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</si>
  <si>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</si>
  <si>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</si>
  <si>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</si>
  <si>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</si>
  <si>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</si>
  <si>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</si>
  <si>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</si>
  <si>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</si>
  <si>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</si>
  <si>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</si>
  <si>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</si>
  <si>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</si>
  <si>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</si>
  <si>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</si>
  <si>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</si>
  <si>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</si>
  <si>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</si>
  <si>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</si>
  <si>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</si>
  <si>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</si>
  <si>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</si>
  <si>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</si>
  <si>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</si>
  <si>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</si>
  <si>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</si>
  <si>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</si>
  <si>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</si>
  <si>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</si>
  <si>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</si>
  <si>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</si>
  <si>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</si>
  <si>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</si>
  <si>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</si>
  <si>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</si>
  <si>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</si>
  <si>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</si>
  <si>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</si>
  <si>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</si>
  <si>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</si>
  <si>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</si>
  <si>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</si>
  <si>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</si>
  <si>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</si>
  <si>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</si>
  <si>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</si>
  <si>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</si>
  <si>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</si>
  <si>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</si>
  <si>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</si>
  <si>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</si>
  <si>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</si>
  <si>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</si>
  <si>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</si>
  <si>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</si>
  <si>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</si>
  <si>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</si>
  <si>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</si>
  <si>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</si>
  <si>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</si>
  <si>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</si>
  <si>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</si>
  <si>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</si>
  <si>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</si>
  <si>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</si>
  <si>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</si>
  <si>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</si>
  <si>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</si>
  <si>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</si>
  <si>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</si>
  <si>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</si>
  <si>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</si>
  <si>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</si>
  <si>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</si>
  <si>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</si>
  <si>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</si>
  <si>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</si>
  <si>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</si>
  <si>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</si>
  <si>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</si>
  <si>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</si>
  <si>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</si>
  <si>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</si>
  <si>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</si>
  <si>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</si>
  <si>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</si>
  <si>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</si>
  <si>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</si>
  <si>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</si>
  <si>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</si>
  <si>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</si>
  <si>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</si>
  <si>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</si>
  <si>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</si>
  <si>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</si>
  <si>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</si>
  <si>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</si>
  <si>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</si>
  <si>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</si>
  <si>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</si>
  <si>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</si>
  <si>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</si>
  <si>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</si>
  <si>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</si>
  <si>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</si>
  <si>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</si>
  <si>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</si>
  <si>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</si>
  <si>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</si>
  <si>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</si>
  <si>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</si>
  <si>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</si>
  <si>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</si>
  <si>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</si>
  <si>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</si>
  <si>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</si>
  <si>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</si>
  <si>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</si>
  <si>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</si>
  <si>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</si>
  <si>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</si>
  <si>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</si>
  <si>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</si>
  <si>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</si>
  <si>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</si>
  <si>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</si>
  <si>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</si>
  <si>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</si>
  <si>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</si>
  <si>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</si>
  <si>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</si>
  <si>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</si>
  <si>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</si>
  <si>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</si>
  <si>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</si>
  <si>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</si>
  <si>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</si>
  <si>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</si>
  <si>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</si>
  <si>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</si>
  <si>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</si>
  <si>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</si>
  <si>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</si>
  <si>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</si>
  <si>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</si>
  <si>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</si>
  <si>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</si>
  <si>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</si>
  <si>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</si>
  <si>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</si>
  <si>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</si>
  <si>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</si>
  <si>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</si>
  <si>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</si>
  <si>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</si>
  <si>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</si>
  <si>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</si>
  <si>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</si>
  <si>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</si>
  <si>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</si>
  <si>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</si>
  <si>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</si>
  <si>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</si>
  <si>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</si>
  <si>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</si>
  <si>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</si>
  <si>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</si>
  <si>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</si>
  <si>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</si>
  <si>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</si>
  <si>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</si>
  <si>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</si>
  <si>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</si>
  <si>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</si>
  <si>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</si>
  <si>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</si>
  <si>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</si>
  <si>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</si>
  <si>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</si>
  <si>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</si>
  <si>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</si>
  <si>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</si>
  <si>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</si>
  <si>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</si>
  <si>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</si>
  <si>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</si>
  <si>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</si>
  <si>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</si>
  <si>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</si>
  <si>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</si>
  <si>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</si>
  <si>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</si>
  <si>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</si>
  <si>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</si>
  <si>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</si>
  <si>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</si>
  <si>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</si>
  <si>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</si>
  <si>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</si>
  <si>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</si>
  <si>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</si>
  <si>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</si>
  <si>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</si>
  <si>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</si>
  <si>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</si>
  <si>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</si>
  <si>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</si>
  <si>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</si>
  <si>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</si>
  <si>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</si>
  <si>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</si>
  <si>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</si>
  <si>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</si>
  <si>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</si>
  <si>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</si>
  <si>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</si>
  <si>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</si>
  <si>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</si>
  <si>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</si>
  <si>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</si>
  <si>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</si>
  <si>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</si>
  <si>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</si>
  <si>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</si>
  <si>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</si>
  <si>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</si>
  <si>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</si>
  <si>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</si>
  <si>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</si>
  <si>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</si>
  <si>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</si>
  <si>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</si>
  <si>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</si>
  <si>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</si>
  <si>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</si>
  <si>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</si>
  <si>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</si>
  <si>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</si>
  <si>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</si>
  <si>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</si>
  <si>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</si>
  <si>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</si>
  <si>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</si>
  <si>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</si>
  <si>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</si>
  <si>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</si>
  <si>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</si>
  <si>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</si>
  <si>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</si>
  <si>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</si>
  <si>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</si>
  <si>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</si>
  <si>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</si>
  <si>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</si>
  <si>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</si>
  <si>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</si>
  <si>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</si>
  <si>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</si>
  <si>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</si>
  <si>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</si>
  <si>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</si>
  <si>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</si>
  <si>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</si>
  <si>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</si>
  <si>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</si>
  <si>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</si>
  <si>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</si>
  <si>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</si>
  <si>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</si>
  <si>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</si>
  <si>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</si>
  <si>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</si>
  <si>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</si>
  <si>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</si>
  <si>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</si>
  <si>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</si>
  <si>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</si>
  <si>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</si>
  <si>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</si>
  <si>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</si>
  <si>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</si>
  <si>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</si>
  <si>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</si>
  <si>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</si>
  <si>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</si>
  <si>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</si>
  <si>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</si>
  <si>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</si>
  <si>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</si>
  <si>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</si>
  <si>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</si>
  <si>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</si>
  <si>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</si>
  <si>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</si>
  <si>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</si>
  <si>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</si>
  <si>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</si>
  <si>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</si>
  <si>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</si>
  <si>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</si>
  <si>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</si>
  <si>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</si>
  <si>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</si>
  <si>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</si>
  <si>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</si>
  <si>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</si>
  <si>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</si>
  <si>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</si>
  <si>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</si>
  <si>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</si>
  <si>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</si>
  <si>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</si>
  <si>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</si>
  <si>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</si>
  <si>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</si>
  <si>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</si>
  <si>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</si>
  <si>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</si>
  <si>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</si>
  <si>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</si>
  <si>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</si>
  <si>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</si>
  <si>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</si>
  <si>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</si>
  <si>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</si>
  <si>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</si>
  <si>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</si>
  <si>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</si>
  <si>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</si>
  <si>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</si>
  <si>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</si>
  <si>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</si>
  <si>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</si>
  <si>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</si>
  <si>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</si>
  <si>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</si>
  <si>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</si>
  <si>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</si>
  <si>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</si>
  <si>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</si>
  <si>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</si>
  <si>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</si>
  <si>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</si>
  <si>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</si>
  <si>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</si>
  <si>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</si>
  <si>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</si>
  <si>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</si>
  <si>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</si>
  <si>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</si>
  <si>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</si>
  <si>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</si>
  <si>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</si>
  <si>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</si>
  <si>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</si>
  <si>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</si>
  <si>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</si>
  <si>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</si>
  <si>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</si>
  <si>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</si>
  <si>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</si>
  <si>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</si>
  <si>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</si>
  <si>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</si>
  <si>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</si>
  <si>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</si>
  <si>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</si>
  <si>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</si>
  <si>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</si>
  <si>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</si>
  <si>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</si>
  <si>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</si>
  <si>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</si>
  <si>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</si>
  <si>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</si>
  <si>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</si>
  <si>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</si>
  <si>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</si>
  <si>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</si>
  <si>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</si>
  <si>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</si>
  <si>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</si>
  <si>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</si>
  <si>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</si>
  <si>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</si>
  <si>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</si>
  <si>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</si>
  <si>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</si>
  <si>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</si>
  <si>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</si>
  <si>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</si>
  <si>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</si>
  <si>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</si>
  <si>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</si>
  <si>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</si>
  <si>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</si>
  <si>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</si>
  <si>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</si>
  <si>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</si>
  <si>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</si>
  <si>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</si>
  <si>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</si>
  <si>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</si>
  <si>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</si>
  <si>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</si>
  <si>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</si>
  <si>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</si>
  <si>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</si>
  <si>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</si>
  <si>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</si>
  <si>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</si>
  <si>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</si>
  <si>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</si>
  <si>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</si>
  <si>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</si>
  <si>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</si>
  <si>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</si>
  <si>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</si>
  <si>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</si>
  <si>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</si>
  <si>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</si>
  <si>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</si>
  <si>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</si>
  <si>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</si>
  <si>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</si>
  <si>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</si>
  <si>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</si>
  <si>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</si>
  <si>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</si>
  <si>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</si>
  <si>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</si>
  <si>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</si>
  <si>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</si>
  <si>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</si>
  <si>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</si>
  <si>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</si>
  <si>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</si>
  <si>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</si>
  <si>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</si>
  <si>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</si>
  <si>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</si>
  <si>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</si>
  <si>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</si>
  <si>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</si>
  <si>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</si>
  <si>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</si>
  <si>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</si>
  <si>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</si>
  <si>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</si>
  <si>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</si>
  <si>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</si>
  <si>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</si>
  <si>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</si>
  <si>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</si>
  <si>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</si>
  <si>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</si>
  <si>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</si>
  <si>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</si>
  <si>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</si>
  <si>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</si>
  <si>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</si>
  <si>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</si>
  <si>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</si>
  <si>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</si>
  <si>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</si>
  <si>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</si>
  <si>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</si>
  <si>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</si>
  <si>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</si>
  <si>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</si>
  <si>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</si>
  <si>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</si>
  <si>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</si>
  <si>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</si>
  <si>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</si>
  <si>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</si>
  <si>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</si>
  <si>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</si>
  <si>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</si>
  <si>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</si>
  <si>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</si>
  <si>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</si>
  <si>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</si>
  <si>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</si>
  <si>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</si>
  <si>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</si>
  <si>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</si>
  <si>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</si>
  <si>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</si>
  <si>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</si>
  <si>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</si>
  <si>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</si>
  <si>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</si>
  <si>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</si>
  <si>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</si>
  <si>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</si>
  <si>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</si>
  <si>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</si>
  <si>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</si>
  <si>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</si>
  <si>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</si>
  <si>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</si>
  <si>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</si>
  <si>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</si>
  <si>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</si>
  <si>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</si>
  <si>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</si>
  <si>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</si>
  <si>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</si>
  <si>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</si>
  <si>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</si>
  <si>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</si>
  <si>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</si>
  <si>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</si>
  <si>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</si>
  <si>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</si>
  <si>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</si>
  <si>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</si>
  <si>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</si>
  <si>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</si>
  <si>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</si>
  <si>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</si>
  <si>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</si>
  <si>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</si>
  <si>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</si>
  <si>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</si>
  <si>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</si>
  <si>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</si>
  <si>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</si>
  <si>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</si>
  <si>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</si>
  <si>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</si>
  <si>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</si>
  <si>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</si>
  <si>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</si>
  <si>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</si>
  <si>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</si>
  <si>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</si>
  <si>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</si>
  <si>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</si>
  <si>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</si>
  <si>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</si>
  <si>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</si>
  <si>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</si>
  <si>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</si>
  <si>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</si>
  <si>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</si>
  <si>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</si>
  <si>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</si>
  <si>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</si>
  <si>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</si>
  <si>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</si>
  <si>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</si>
  <si>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</si>
  <si>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</si>
  <si>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</si>
  <si>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</si>
  <si>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</si>
  <si>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</si>
  <si>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</si>
  <si>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</si>
  <si>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</si>
  <si>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</si>
  <si>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</si>
  <si>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</si>
  <si>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</si>
  <si>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</si>
  <si>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</si>
  <si>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</si>
  <si>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</si>
  <si>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</si>
  <si>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</si>
  <si>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</si>
  <si>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</si>
  <si>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</si>
  <si>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</si>
  <si>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</si>
  <si>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</si>
  <si>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</si>
  <si>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</si>
  <si>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</si>
  <si>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</si>
  <si>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</si>
  <si>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</si>
  <si>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</si>
  <si>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</si>
  <si>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</si>
  <si>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</si>
  <si>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</si>
  <si>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</si>
  <si>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</si>
  <si>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</si>
  <si>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</si>
  <si>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</si>
  <si>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</si>
  <si>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</si>
  <si>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</si>
  <si>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</si>
  <si>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</si>
  <si>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</si>
  <si>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</si>
  <si>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</si>
  <si>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</si>
  <si>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</si>
  <si>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</si>
  <si>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</si>
  <si>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</si>
  <si>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</si>
  <si>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</si>
  <si>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</si>
  <si>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</si>
  <si>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</si>
  <si>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</si>
  <si>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</si>
  <si>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</si>
  <si>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</si>
  <si>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</si>
  <si>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</si>
  <si>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</si>
  <si>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</si>
  <si>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</si>
  <si>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</si>
  <si>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</si>
  <si>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</si>
  <si>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</si>
  <si>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</si>
  <si>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</si>
  <si>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</si>
  <si>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</si>
  <si>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</si>
  <si>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</si>
  <si>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</si>
  <si>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</si>
  <si>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</si>
  <si>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</si>
  <si>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</si>
  <si>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</si>
  <si>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</si>
  <si>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</si>
  <si>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</si>
  <si>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</si>
  <si>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</si>
  <si>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</si>
  <si>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</si>
  <si>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</si>
  <si>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</si>
  <si>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</si>
  <si>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</si>
  <si>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</si>
  <si>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</si>
  <si>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</si>
  <si>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</si>
  <si>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</si>
  <si>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</si>
  <si>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</si>
  <si>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</si>
  <si>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</si>
  <si>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</si>
  <si>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</si>
  <si>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</si>
  <si>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</si>
  <si>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</si>
  <si>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</si>
  <si>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</si>
  <si>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</si>
  <si>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</si>
  <si>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</si>
  <si>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</si>
  <si>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</si>
  <si>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</si>
  <si>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</si>
  <si>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</si>
  <si>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</si>
  <si>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</si>
  <si>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</si>
  <si>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</si>
  <si>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</si>
  <si>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</si>
  <si>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</si>
  <si>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</si>
  <si>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</si>
  <si>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</si>
  <si>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</si>
  <si>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</si>
  <si>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</si>
  <si>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</si>
  <si>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</si>
  <si>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</si>
  <si>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</si>
  <si>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</si>
  <si>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</si>
  <si>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</si>
  <si>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</si>
  <si>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</si>
  <si>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</si>
  <si>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</si>
  <si>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</si>
  <si>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</si>
  <si>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</si>
  <si>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</si>
  <si>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</si>
  <si>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</si>
  <si>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</si>
  <si>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</si>
  <si>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</si>
  <si>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</si>
  <si>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</si>
  <si>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</si>
  <si>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</si>
  <si>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</si>
  <si>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</si>
  <si>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</si>
  <si>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</si>
  <si>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</si>
  <si>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</si>
  <si>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</si>
  <si>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</si>
  <si>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</si>
  <si>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</si>
  <si>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</si>
  <si>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</si>
  <si>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</si>
  <si>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</si>
  <si>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</si>
  <si>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</si>
  <si>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</si>
  <si>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</si>
  <si>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</si>
  <si>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</si>
  <si>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</si>
  <si>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</si>
  <si>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</si>
  <si>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</si>
  <si>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</si>
  <si>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</si>
  <si>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</si>
  <si>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</si>
  <si>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</si>
  <si>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</si>
  <si>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</si>
  <si>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</si>
  <si>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</si>
  <si>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</si>
  <si>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</si>
  <si>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</si>
  <si>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</si>
  <si>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</si>
  <si>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</si>
  <si>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</si>
  <si>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</si>
  <si>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</si>
  <si>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</si>
  <si>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</si>
  <si>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</si>
  <si>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</si>
  <si>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</si>
  <si>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</si>
  <si>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</si>
  <si>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</si>
  <si>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</si>
  <si>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</si>
  <si>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</si>
  <si>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</si>
  <si>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</si>
  <si>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</si>
  <si>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</si>
  <si>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</si>
  <si>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</si>
  <si>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</si>
  <si>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</si>
  <si>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</si>
  <si>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</si>
  <si>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</si>
  <si>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</si>
  <si>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</si>
  <si>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</si>
  <si>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</si>
  <si>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</si>
  <si>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</si>
  <si>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</si>
  <si>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</si>
  <si>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</si>
  <si>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</si>
  <si>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</si>
  <si>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</si>
  <si>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</si>
  <si>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</si>
  <si>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</si>
  <si>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</si>
  <si>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</si>
  <si>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</si>
  <si>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</si>
  <si>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</si>
  <si>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</si>
  <si>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</si>
  <si>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</si>
  <si>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</si>
  <si>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</si>
  <si>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</si>
  <si>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</si>
  <si>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</si>
  <si>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</si>
  <si>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</si>
  <si>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</si>
  <si>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</si>
  <si>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</si>
  <si>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</si>
  <si>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</si>
  <si>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</si>
  <si>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</si>
  <si>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</si>
  <si>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</si>
  <si>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</si>
  <si>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</si>
  <si>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</si>
  <si>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</si>
  <si>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</si>
  <si>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</si>
  <si>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</si>
  <si>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</si>
  <si>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</si>
  <si>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</si>
  <si>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</si>
  <si>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</si>
  <si>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</si>
  <si>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</si>
  <si>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</si>
  <si>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</si>
  <si>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</si>
  <si>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</si>
  <si>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</si>
  <si>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</si>
  <si>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</si>
  <si>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</si>
  <si>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</si>
  <si>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</si>
  <si>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</si>
  <si>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</si>
  <si>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</si>
  <si>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</si>
  <si>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</si>
  <si>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</si>
  <si>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</si>
  <si>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</si>
  <si>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</si>
  <si>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</si>
  <si>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</si>
  <si>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</si>
  <si>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</si>
  <si>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</si>
  <si>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</si>
  <si>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</si>
  <si>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</si>
  <si>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</si>
  <si>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</si>
  <si>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</si>
  <si>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</si>
  <si>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</si>
  <si>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</si>
  <si>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</si>
  <si>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</si>
  <si>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</si>
  <si>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</si>
  <si>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</si>
  <si>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</si>
  <si>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</si>
  <si>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</si>
  <si>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</si>
  <si>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</si>
  <si>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</si>
  <si>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</si>
  <si>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</si>
  <si>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</si>
  <si>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</si>
  <si>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</si>
  <si>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</si>
  <si>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</si>
  <si>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</si>
  <si>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</si>
  <si>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</si>
  <si>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</si>
  <si>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</si>
  <si>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</si>
  <si>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</si>
  <si>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</si>
  <si>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</si>
  <si>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</si>
  <si>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</si>
  <si>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</si>
  <si>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</si>
  <si>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</si>
  <si>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</si>
  <si>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</si>
  <si>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</si>
  <si>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</si>
  <si>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</si>
  <si>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</si>
  <si>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</si>
  <si>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</si>
  <si>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</si>
  <si>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</si>
  <si>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</si>
  <si>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</si>
  <si>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</si>
  <si>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</si>
  <si>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</si>
  <si>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</si>
  <si>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</si>
  <si>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</si>
  <si>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</si>
  <si>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</si>
  <si>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</si>
  <si>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</si>
  <si>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</si>
  <si>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</si>
  <si>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</si>
  <si>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</si>
  <si>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</si>
  <si>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</si>
  <si>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</si>
  <si>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</si>
  <si>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</si>
  <si>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</si>
  <si>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</si>
  <si>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</si>
  <si>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</si>
  <si>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</si>
  <si>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</si>
  <si>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</si>
  <si>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</si>
  <si>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</si>
  <si>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</si>
  <si>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</si>
  <si>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</si>
  <si>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</si>
  <si>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</si>
  <si>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</si>
  <si>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</si>
  <si>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</si>
  <si>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</si>
  <si>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</si>
  <si>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</si>
  <si>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</si>
  <si>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</si>
  <si>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</si>
  <si>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</si>
  <si>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</si>
  <si>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</si>
  <si>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</si>
  <si>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</si>
  <si>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</si>
  <si>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</si>
  <si>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</si>
  <si>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</si>
  <si>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</si>
  <si>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</si>
  <si>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</si>
  <si>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</si>
  <si>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</si>
  <si>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</si>
  <si>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</si>
  <si>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</si>
  <si>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</si>
  <si>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</si>
  <si>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</si>
  <si>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</si>
  <si>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</si>
  <si>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</si>
  <si>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</si>
  <si>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</si>
  <si>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</si>
  <si>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</si>
  <si>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</si>
  <si>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</si>
  <si>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</si>
  <si>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</si>
  <si>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</si>
  <si>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</si>
  <si>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</si>
  <si>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</si>
  <si>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</si>
  <si>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</si>
  <si>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</si>
  <si>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</si>
  <si>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</si>
  <si>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</si>
  <si>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</si>
  <si>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</si>
  <si>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</si>
  <si>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</si>
  <si>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</si>
  <si>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</si>
  <si>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</si>
  <si>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</si>
  <si>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</si>
  <si>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</si>
  <si>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</si>
  <si>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</si>
  <si>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</si>
  <si>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</si>
  <si>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</si>
  <si>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</si>
  <si>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</si>
  <si>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</si>
  <si>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</si>
  <si>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</si>
  <si>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</si>
  <si>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</si>
  <si>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</si>
  <si>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</si>
  <si>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</si>
  <si>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</si>
  <si>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</si>
  <si>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</si>
  <si>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</si>
  <si>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</si>
  <si>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</si>
  <si>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</si>
  <si>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</si>
  <si>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</si>
  <si>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</si>
  <si>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</si>
  <si>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</si>
  <si>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</si>
  <si>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</si>
  <si>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</si>
  <si>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</si>
  <si>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</si>
  <si>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</si>
  <si>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</si>
  <si>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</si>
  <si>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</si>
  <si>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</si>
  <si>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</si>
  <si>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</si>
  <si>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</si>
  <si>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</si>
  <si>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</si>
  <si>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</si>
  <si>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</si>
  <si>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</si>
  <si>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</si>
  <si>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</si>
  <si>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</si>
  <si>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</si>
  <si>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</si>
  <si>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</si>
  <si>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</si>
  <si>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</si>
  <si>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</si>
  <si>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</si>
  <si>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</si>
  <si>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</si>
  <si>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</si>
  <si>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</si>
  <si>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</si>
  <si>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</si>
  <si>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</si>
  <si>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</si>
  <si>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</si>
  <si>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</si>
  <si>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</si>
  <si>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</si>
  <si>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</si>
  <si>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</si>
  <si>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</si>
  <si>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</si>
  <si>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</si>
  <si>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</si>
  <si>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</si>
  <si>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</si>
  <si>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</si>
  <si>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</si>
  <si>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</si>
  <si>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</si>
  <si>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</si>
  <si>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</si>
  <si>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</si>
  <si>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</si>
  <si>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</si>
  <si>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</si>
  <si>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</si>
  <si>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</si>
  <si>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</si>
  <si>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</si>
  <si>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</si>
  <si>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</si>
  <si>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</si>
  <si>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</si>
  <si>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</si>
  <si>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</si>
  <si>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</si>
  <si>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</si>
  <si>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</si>
  <si>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</si>
  <si>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</si>
  <si>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</si>
  <si>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</si>
  <si>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</si>
  <si>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</si>
  <si>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</si>
  <si>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</si>
  <si>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</si>
  <si>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</si>
  <si>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</si>
  <si>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</si>
  <si>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</si>
  <si>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</si>
  <si>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</si>
  <si>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</si>
  <si>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</si>
  <si>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</si>
  <si>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</si>
  <si>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</si>
  <si>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</si>
  <si>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</si>
  <si>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</si>
  <si>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</si>
  <si>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</si>
  <si>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</si>
  <si>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</si>
  <si>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</si>
  <si>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</si>
  <si>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</si>
  <si>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</si>
  <si>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</si>
  <si>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</si>
  <si>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</si>
  <si>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</si>
  <si>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</si>
  <si>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</si>
  <si>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</si>
  <si>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</si>
  <si>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</si>
  <si>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</si>
  <si>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</si>
  <si>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</si>
  <si>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</si>
  <si>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</si>
  <si>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</si>
  <si>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</si>
  <si>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</si>
  <si>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</si>
  <si>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</si>
  <si>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</si>
  <si>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</si>
  <si>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</si>
  <si>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</si>
  <si>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</si>
  <si>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</si>
  <si>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</si>
  <si>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</si>
  <si>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</si>
  <si>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</si>
  <si>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</si>
  <si>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</si>
  <si>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</si>
  <si>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</si>
  <si>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</si>
  <si>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</si>
  <si>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</si>
  <si>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</si>
  <si>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</si>
  <si>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</si>
  <si>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</si>
  <si>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</si>
  <si>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</si>
  <si>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</si>
  <si>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</si>
  <si>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</si>
  <si>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</si>
  <si>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</si>
  <si>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</si>
  <si>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</si>
  <si>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</si>
  <si>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</si>
  <si>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</si>
  <si>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</si>
  <si>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</si>
  <si>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</si>
  <si>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</si>
  <si>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</si>
  <si>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</si>
  <si>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</si>
  <si>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</si>
  <si>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</si>
  <si>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</si>
  <si>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</si>
  <si>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</si>
  <si>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</si>
  <si>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</si>
  <si>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</si>
  <si>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</si>
  <si>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</si>
  <si>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</si>
  <si>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</si>
  <si>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</si>
  <si>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</si>
  <si>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</si>
  <si>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</si>
  <si>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</si>
  <si>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</si>
  <si>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</si>
  <si>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</si>
  <si>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</si>
  <si>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</si>
  <si>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</si>
  <si>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</si>
  <si>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</si>
  <si>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</si>
  <si>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</si>
  <si>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</si>
  <si>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</si>
  <si>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</si>
  <si>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</si>
  <si>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</si>
  <si>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</si>
  <si>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</si>
  <si>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</si>
  <si>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</si>
  <si>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</si>
  <si>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</si>
  <si>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</si>
  <si>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</si>
  <si>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</si>
  <si>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</si>
  <si>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</si>
  <si>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</si>
  <si>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</si>
  <si>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</si>
  <si>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</si>
  <si>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</si>
  <si>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</si>
  <si>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</si>
  <si>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</si>
  <si>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</si>
  <si>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</si>
  <si>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</si>
  <si>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</si>
  <si>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</si>
  <si>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</si>
  <si>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</si>
  <si>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</si>
  <si>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</si>
  <si>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</si>
  <si>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</si>
  <si>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</si>
  <si>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</si>
  <si>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</si>
  <si>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</si>
  <si>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</si>
  <si>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</si>
  <si>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</si>
  <si>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</si>
  <si>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</si>
  <si>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</si>
  <si>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</si>
  <si>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</si>
  <si>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</si>
  <si>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</si>
  <si>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</si>
  <si>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</si>
  <si>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</si>
  <si>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</si>
  <si>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</si>
  <si>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</si>
  <si>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</si>
  <si>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</si>
  <si>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</si>
  <si>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</si>
  <si>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</si>
  <si>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</si>
  <si>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</si>
  <si>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</si>
  <si>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</si>
  <si>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</si>
  <si>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</si>
  <si>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</si>
  <si>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</si>
  <si>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</si>
  <si>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</si>
  <si>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</si>
  <si>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</si>
  <si>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</si>
  <si>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</si>
  <si>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</si>
  <si>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</si>
  <si>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</si>
  <si>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</si>
  <si>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</si>
  <si>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</si>
  <si>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</si>
  <si>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</si>
  <si>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</si>
  <si>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</si>
  <si>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</si>
  <si>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</si>
  <si>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</si>
  <si>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</si>
  <si>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</si>
  <si>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</si>
  <si>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</si>
  <si>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</si>
  <si>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</si>
  <si>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</si>
  <si>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</si>
  <si>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</si>
  <si>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</si>
  <si>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</si>
  <si>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</si>
  <si>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</si>
  <si>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</si>
  <si>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</si>
  <si>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</si>
  <si>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</si>
  <si>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</si>
  <si>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</si>
  <si>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</si>
  <si>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</si>
  <si>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</si>
  <si>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</si>
  <si>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</si>
  <si>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</si>
  <si>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</si>
  <si>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</si>
  <si>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</si>
  <si>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</si>
  <si>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</si>
  <si>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</si>
  <si>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</si>
  <si>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</si>
  <si>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</si>
  <si>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</si>
  <si>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</si>
  <si>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</si>
  <si>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</si>
  <si>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</si>
  <si>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</si>
  <si>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</si>
  <si>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</si>
  <si>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</si>
  <si>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</si>
  <si>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</si>
  <si>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</si>
  <si>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</si>
  <si>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</si>
  <si>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</si>
  <si>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</si>
  <si>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</si>
  <si>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</si>
  <si>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</si>
  <si>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</si>
  <si>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</si>
  <si>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</si>
  <si>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</si>
  <si>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</si>
  <si>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</si>
  <si>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</si>
  <si>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</si>
  <si>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</si>
  <si>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</si>
  <si>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</si>
  <si>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</si>
  <si>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</si>
  <si>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</si>
  <si>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</si>
  <si>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</si>
  <si>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</si>
  <si>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</si>
  <si>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</si>
  <si>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</si>
  <si>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</si>
  <si>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</si>
  <si>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</si>
  <si>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</si>
  <si>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</si>
  <si>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</si>
  <si>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</si>
  <si>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</si>
  <si>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</si>
  <si>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</si>
  <si>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</si>
  <si>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</si>
  <si>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</si>
  <si>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</si>
  <si>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</si>
  <si>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</si>
  <si>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</si>
  <si>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</si>
  <si>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</si>
  <si>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</si>
  <si>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</si>
  <si>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</si>
  <si>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</si>
  <si>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</si>
  <si>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</si>
  <si>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</si>
  <si>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</si>
  <si>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</si>
  <si>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</si>
  <si>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</si>
  <si>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</si>
  <si>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</si>
  <si>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</si>
  <si>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</si>
  <si>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</si>
  <si>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</si>
  <si>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</si>
  <si>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</si>
  <si>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</si>
  <si>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</si>
  <si>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</si>
  <si>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</si>
  <si>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</si>
  <si>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</si>
  <si>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</si>
  <si>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</si>
  <si>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</si>
  <si>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</si>
  <si>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</si>
  <si>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</si>
  <si>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</si>
  <si>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</si>
  <si>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</si>
  <si>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</si>
  <si>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</si>
  <si>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</si>
  <si>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</si>
  <si>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</si>
  <si>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</si>
  <si>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</si>
  <si>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</si>
  <si>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</si>
  <si>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</si>
  <si>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</si>
  <si>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</si>
  <si>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</si>
  <si>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</si>
  <si>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</si>
  <si>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</si>
  <si>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</si>
  <si>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</si>
  <si>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</si>
  <si>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</si>
  <si>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</si>
  <si>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</si>
  <si>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</si>
  <si>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</si>
  <si>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</si>
  <si>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</si>
  <si>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</si>
  <si>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</si>
  <si>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</si>
  <si>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</si>
  <si>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</si>
  <si>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</si>
  <si>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</si>
  <si>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</si>
  <si>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</si>
  <si>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</si>
  <si>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</si>
  <si>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</si>
  <si>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</si>
  <si>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</si>
  <si>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</si>
  <si>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</si>
  <si>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</si>
  <si>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</si>
  <si>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</si>
  <si>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</si>
  <si>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</si>
  <si>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</si>
  <si>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</si>
  <si>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</si>
  <si>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</si>
  <si>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</si>
  <si>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</si>
  <si>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</si>
  <si>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</si>
  <si>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</si>
  <si>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</si>
  <si>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</si>
  <si>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</si>
  <si>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</si>
  <si>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</si>
  <si>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</si>
  <si>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</si>
  <si>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</si>
  <si>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</si>
  <si>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</si>
  <si>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</si>
  <si>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</si>
  <si>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</si>
  <si>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</si>
  <si>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</si>
  <si>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</si>
  <si>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</si>
  <si>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</si>
  <si>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</si>
  <si>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</si>
  <si>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</si>
  <si>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</si>
  <si>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</si>
  <si>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</si>
  <si>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</si>
  <si>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</si>
  <si>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</si>
  <si>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</si>
  <si>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</si>
  <si>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</si>
  <si>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</si>
  <si>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</si>
  <si>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</si>
  <si>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</si>
  <si>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</si>
  <si>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</si>
  <si>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</si>
  <si>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</si>
  <si>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</si>
  <si>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</si>
  <si>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</si>
  <si>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</si>
  <si>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</si>
  <si>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</si>
  <si>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</si>
  <si>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</si>
  <si>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</si>
  <si>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</si>
  <si>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</si>
  <si>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</si>
  <si>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</si>
  <si>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</si>
  <si>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</si>
  <si>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</si>
  <si>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</si>
  <si>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</si>
  <si>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</si>
  <si>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</si>
  <si>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</si>
  <si>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</si>
  <si>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</si>
  <si>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</si>
  <si>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</si>
  <si>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</si>
  <si>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</si>
  <si>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</si>
  <si>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</si>
  <si>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</si>
  <si>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</si>
  <si>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</si>
  <si>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</si>
  <si>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</si>
  <si>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</si>
  <si>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</si>
  <si>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</si>
  <si>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</si>
  <si>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</si>
  <si>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</si>
  <si>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</si>
  <si>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</si>
  <si>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</si>
  <si>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</si>
  <si>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</si>
  <si>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</si>
  <si>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</si>
  <si>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</si>
  <si>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</si>
  <si>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</si>
  <si>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</si>
  <si>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</si>
  <si>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</si>
  <si>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</si>
  <si>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</si>
  <si>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</si>
  <si>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</si>
  <si>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</si>
  <si>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</si>
  <si>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</si>
  <si>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</si>
  <si>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</si>
  <si>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</si>
  <si>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</si>
  <si>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</si>
  <si>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</si>
  <si>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</si>
  <si>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</si>
  <si>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</si>
  <si>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</si>
  <si>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</si>
  <si>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</si>
  <si>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</si>
  <si>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</si>
  <si>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</si>
  <si>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</si>
  <si>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</si>
  <si>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</si>
  <si>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</si>
  <si>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</si>
  <si>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</si>
  <si>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</si>
  <si>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</si>
  <si>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</si>
  <si>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</si>
  <si>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</si>
  <si>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</si>
  <si>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</si>
  <si>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</si>
  <si>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</si>
  <si>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</si>
  <si>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</si>
  <si>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</si>
  <si>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</si>
  <si>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</si>
  <si>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</si>
  <si>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</si>
  <si>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</si>
  <si>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</si>
  <si>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</si>
  <si>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</si>
  <si>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</si>
  <si>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</si>
  <si>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</si>
  <si>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</si>
  <si>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</si>
  <si>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</si>
  <si>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</si>
  <si>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</si>
  <si>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</si>
  <si>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</si>
  <si>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</si>
  <si>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</si>
  <si>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</si>
  <si>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</si>
  <si>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</si>
  <si>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</si>
  <si>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</si>
  <si>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</si>
  <si>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</si>
  <si>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</si>
  <si>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</si>
  <si>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</si>
  <si>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</si>
  <si>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</si>
  <si>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</si>
  <si>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</si>
  <si>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</si>
  <si>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</si>
  <si>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</si>
  <si>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</si>
  <si>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</si>
  <si>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</si>
  <si>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</si>
  <si>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</si>
  <si>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</si>
  <si>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</si>
  <si>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</si>
  <si>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</si>
  <si>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</si>
  <si>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</si>
  <si>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</si>
  <si>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</si>
  <si>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</si>
  <si>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</si>
  <si>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</si>
  <si>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</si>
  <si>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</si>
  <si>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</si>
  <si>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</si>
  <si>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</si>
  <si>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</si>
  <si>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</si>
  <si>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</si>
  <si>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</si>
  <si>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</si>
  <si>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</si>
  <si>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</si>
  <si>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</si>
  <si>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</si>
  <si>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</si>
  <si>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</si>
  <si>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</si>
  <si>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</si>
  <si>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</si>
  <si>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</si>
  <si>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</si>
  <si>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</si>
  <si>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</si>
  <si>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</si>
  <si>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</si>
  <si>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</si>
  <si>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</si>
  <si>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</si>
  <si>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</si>
  <si>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</si>
  <si>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</si>
  <si>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</si>
  <si>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</si>
  <si>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</si>
  <si>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</si>
  <si>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</si>
  <si>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</si>
  <si>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</si>
  <si>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</si>
  <si>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</si>
  <si>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</si>
  <si>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</si>
  <si>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</si>
  <si>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</si>
  <si>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</si>
  <si>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</si>
  <si>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</si>
  <si>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</si>
  <si>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</si>
  <si>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</si>
  <si>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</si>
  <si>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</si>
  <si>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</si>
  <si>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</si>
  <si>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</si>
  <si>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</si>
  <si>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</si>
  <si>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</si>
  <si>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</si>
  <si>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</si>
  <si>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</si>
  <si>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</si>
  <si>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</si>
  <si>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</si>
  <si>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</si>
  <si>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</si>
  <si>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</si>
  <si>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</si>
  <si>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</si>
  <si>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</si>
  <si>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</si>
  <si>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</si>
  <si>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</si>
  <si>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</si>
  <si>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</si>
  <si>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</si>
  <si>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</si>
  <si>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</si>
  <si>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</si>
  <si>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</si>
  <si>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</si>
  <si>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</si>
  <si>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</si>
  <si>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</si>
  <si>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</si>
  <si>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</si>
  <si>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</si>
  <si>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</si>
  <si>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</si>
  <si>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</si>
  <si>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</si>
  <si>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</si>
  <si>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</si>
  <si>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</si>
  <si>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</si>
  <si>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</si>
  <si>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</si>
  <si>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</si>
  <si>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</si>
  <si>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</si>
  <si>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</si>
  <si>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</si>
  <si>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</si>
  <si>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</si>
  <si>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</si>
  <si>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</si>
  <si>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</si>
  <si>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</si>
  <si>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</si>
  <si>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</si>
  <si>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</si>
  <si>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</si>
  <si>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</si>
  <si>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</si>
  <si>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</si>
  <si>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</si>
  <si>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</si>
  <si>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</si>
  <si>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</si>
  <si>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</si>
  <si>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</si>
  <si>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</si>
  <si>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</si>
  <si>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</si>
  <si>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</si>
  <si>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</si>
  <si>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</si>
  <si>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</si>
  <si>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</si>
  <si>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</si>
  <si>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</si>
  <si>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</si>
  <si>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</si>
  <si>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</si>
  <si>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</si>
  <si>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</si>
  <si>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</si>
  <si>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</si>
  <si>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</si>
  <si>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</si>
  <si>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</si>
  <si>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</si>
  <si>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</si>
  <si>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</si>
  <si>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</si>
  <si>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</si>
  <si>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</si>
  <si>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</si>
  <si>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</si>
  <si>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</si>
  <si>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</si>
  <si>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</si>
  <si>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</si>
  <si>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</si>
  <si>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</si>
  <si>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</si>
  <si>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</si>
  <si>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</si>
  <si>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</si>
  <si>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</si>
  <si>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</si>
  <si>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</si>
  <si>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</si>
  <si>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</si>
  <si>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</si>
  <si>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</si>
  <si>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</si>
  <si>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</si>
  <si>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</si>
  <si>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</si>
  <si>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</si>
  <si>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</si>
  <si>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</si>
  <si>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</si>
  <si>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</si>
  <si>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</si>
  <si>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</si>
  <si>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</si>
  <si>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</si>
  <si>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</si>
  <si>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</si>
  <si>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</si>
  <si>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</si>
  <si>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</si>
  <si>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</si>
  <si>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</si>
  <si>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</si>
  <si>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</si>
  <si>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</si>
  <si>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</si>
  <si>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</si>
  <si>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</si>
  <si>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</si>
  <si>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</si>
  <si>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</si>
  <si>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</si>
  <si>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</si>
  <si>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</si>
  <si>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</si>
  <si>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</si>
  <si>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</si>
  <si>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</si>
  <si>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</si>
  <si>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</si>
  <si>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</si>
  <si>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</si>
  <si>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</si>
  <si>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</si>
  <si>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</si>
  <si>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</si>
  <si>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</si>
  <si>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</si>
  <si>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</si>
  <si>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</si>
  <si>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</si>
  <si>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</si>
  <si>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</si>
  <si>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</si>
  <si>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</si>
  <si>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</si>
  <si>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</si>
  <si>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</si>
  <si>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</si>
  <si>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</si>
  <si>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</si>
  <si>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</si>
  <si>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</si>
  <si>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</si>
  <si>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</si>
  <si>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</si>
  <si>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</si>
  <si>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</si>
  <si>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</si>
  <si>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</si>
  <si>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</si>
  <si>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</si>
  <si>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</si>
  <si>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</si>
  <si>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</si>
  <si>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</si>
  <si>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</si>
  <si>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</si>
  <si>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</si>
  <si>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</si>
  <si>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</si>
  <si>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</si>
  <si>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</si>
  <si>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</si>
  <si>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</si>
  <si>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</si>
  <si>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</si>
  <si>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</si>
  <si>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</si>
  <si>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</si>
  <si>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</si>
  <si>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</si>
  <si>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</si>
  <si>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</si>
  <si>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</si>
  <si>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</si>
  <si>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</si>
  <si>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</si>
  <si>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</si>
  <si>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</si>
  <si>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</si>
  <si>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</si>
  <si>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</si>
  <si>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</si>
  <si>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</si>
  <si>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</si>
  <si>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</si>
  <si>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</si>
  <si>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</si>
  <si>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</si>
  <si>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</si>
  <si>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</si>
  <si>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</si>
  <si>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</si>
  <si>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</si>
  <si>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</si>
  <si>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</si>
  <si>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</si>
  <si>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</si>
  <si>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</si>
  <si>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</si>
  <si>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</si>
  <si>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</si>
  <si>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</si>
  <si>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</si>
  <si>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</si>
  <si>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</si>
  <si>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</si>
  <si>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</si>
  <si>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</si>
  <si>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</si>
  <si>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</si>
  <si>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</si>
  <si>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</si>
  <si>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</si>
  <si>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</si>
  <si>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</si>
  <si>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</si>
  <si>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</si>
  <si>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</si>
  <si>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</si>
  <si>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</si>
  <si>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</si>
  <si>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</si>
  <si>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</si>
  <si>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</si>
  <si>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</si>
  <si>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</si>
  <si>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</si>
  <si>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</si>
  <si>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</si>
  <si>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</si>
  <si>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</si>
  <si>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</si>
  <si>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</si>
  <si>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</si>
  <si>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</si>
  <si>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</si>
  <si>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</si>
  <si>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</si>
  <si>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</si>
  <si>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</si>
  <si>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</si>
  <si>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</si>
  <si>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</si>
  <si>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</si>
  <si>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</si>
  <si>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</si>
  <si>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</si>
  <si>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</si>
  <si>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</si>
  <si>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</si>
  <si>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</si>
  <si>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</si>
  <si>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</si>
  <si>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</si>
  <si>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</si>
  <si>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</si>
  <si>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</si>
  <si>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</si>
  <si>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</si>
  <si>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</si>
  <si>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</si>
  <si>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</si>
  <si>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</si>
  <si>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</si>
  <si>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</si>
  <si>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</si>
  <si>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</si>
  <si>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</si>
  <si>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</si>
  <si>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</si>
  <si>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</si>
  <si>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</si>
  <si>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</si>
  <si>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</si>
  <si>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</si>
  <si>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</si>
  <si>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</si>
  <si>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</si>
  <si>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</si>
  <si>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</si>
  <si>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</si>
  <si>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</si>
  <si>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</si>
  <si>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</si>
  <si>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</si>
  <si>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</si>
  <si>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</si>
  <si>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</si>
  <si>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</si>
  <si>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</si>
  <si>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</si>
  <si>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</si>
  <si>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</si>
  <si>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</si>
  <si>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</si>
  <si>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</si>
  <si>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</si>
  <si>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</si>
  <si>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</si>
  <si>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</si>
  <si>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</si>
  <si>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</si>
  <si>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</si>
  <si>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</si>
  <si>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</si>
  <si>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</si>
  <si>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</si>
  <si>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</si>
  <si>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</si>
  <si>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</si>
  <si>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</si>
  <si>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</si>
  <si>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</si>
  <si>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</si>
  <si>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</si>
  <si>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</si>
  <si>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</si>
  <si>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</si>
  <si>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</si>
  <si>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</si>
  <si>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</si>
  <si>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</si>
  <si>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</si>
  <si>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</si>
  <si>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</si>
  <si>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</si>
  <si>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</si>
  <si>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</si>
  <si>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</si>
  <si>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</si>
  <si>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</si>
  <si>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</si>
  <si>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</si>
  <si>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</si>
  <si>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</si>
  <si>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</si>
  <si>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</si>
  <si>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</si>
  <si>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</si>
  <si>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</si>
  <si>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</si>
  <si>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</si>
  <si>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</si>
  <si>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</si>
  <si>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</si>
  <si>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</si>
  <si>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</si>
  <si>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</si>
  <si>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</si>
  <si>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</si>
  <si>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</si>
  <si>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</si>
  <si>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</si>
  <si>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</si>
  <si>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</si>
  <si>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</si>
  <si>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</si>
  <si>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</si>
  <si>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</si>
  <si>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</si>
  <si>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</si>
  <si>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</si>
  <si>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</si>
  <si>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</si>
  <si>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</si>
  <si>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</si>
  <si>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</si>
  <si>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</si>
  <si>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</si>
  <si>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</si>
  <si>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</si>
  <si>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</si>
  <si>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</si>
  <si>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</si>
  <si>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</si>
  <si>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</si>
  <si>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</si>
  <si>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</si>
  <si>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</si>
  <si>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</si>
  <si>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</si>
  <si>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</si>
  <si>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</si>
  <si>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</si>
  <si>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</si>
  <si>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</si>
  <si>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</si>
  <si>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</si>
  <si>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</si>
  <si>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</si>
  <si>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</si>
  <si>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</si>
  <si>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</si>
  <si>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</si>
  <si>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</si>
  <si>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</si>
  <si>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</si>
  <si>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</si>
  <si>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</si>
  <si>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</si>
  <si>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</si>
  <si>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</si>
  <si>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</si>
  <si>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</si>
  <si>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</si>
  <si>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</si>
  <si>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</si>
  <si>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</si>
  <si>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</si>
  <si>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</si>
  <si>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</si>
  <si>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</si>
  <si>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</si>
  <si>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</si>
  <si>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</si>
  <si>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</si>
  <si>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</si>
  <si>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</si>
  <si>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</si>
  <si>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</si>
  <si>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</si>
  <si>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</si>
  <si>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</si>
  <si>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</si>
  <si>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</si>
  <si>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</si>
  <si>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</si>
  <si>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</si>
  <si>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</si>
  <si>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</si>
  <si>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</si>
  <si>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</si>
  <si>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</si>
  <si>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</si>
  <si>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</si>
  <si>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</si>
  <si>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</si>
  <si>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</si>
  <si>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</si>
  <si>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</si>
  <si>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</si>
  <si>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</si>
  <si>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</si>
  <si>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</si>
  <si>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</si>
  <si>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</si>
  <si>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</si>
  <si>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</si>
  <si>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</si>
  <si>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</si>
  <si>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</si>
  <si>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</si>
  <si>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</si>
  <si>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</si>
  <si>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</si>
  <si>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</si>
  <si>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</si>
  <si>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</si>
  <si>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</si>
  <si>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</si>
  <si>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</si>
  <si>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</si>
  <si>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</si>
  <si>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</si>
  <si>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</si>
  <si>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</si>
  <si>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</si>
  <si>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</si>
  <si>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</si>
  <si>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</si>
  <si>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</si>
  <si>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</si>
  <si>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</si>
  <si>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</si>
  <si>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</si>
  <si>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</si>
  <si>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</si>
  <si>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</si>
  <si>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</si>
  <si>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</si>
  <si>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</si>
  <si>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</si>
  <si>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</si>
  <si>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</si>
  <si>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</si>
  <si>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</si>
  <si>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</si>
  <si>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</si>
  <si>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</si>
  <si>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</si>
  <si>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</si>
  <si>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</si>
  <si>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</si>
  <si>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</si>
  <si>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</si>
  <si>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</si>
  <si>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</si>
  <si>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</si>
  <si>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</si>
  <si>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</si>
  <si>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</si>
  <si>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</si>
  <si>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</si>
  <si>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</si>
  <si>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</si>
  <si>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</si>
  <si>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</si>
  <si>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</si>
  <si>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</si>
  <si>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</si>
  <si>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</si>
  <si>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</si>
  <si>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</si>
  <si>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</si>
  <si>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</si>
  <si>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</si>
  <si>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</si>
  <si>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</si>
  <si>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</si>
  <si>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</si>
  <si>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</si>
  <si>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</si>
  <si>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</si>
  <si>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</si>
  <si>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</si>
  <si>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</si>
  <si>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</si>
  <si>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</si>
  <si>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</si>
  <si>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</si>
  <si>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</si>
  <si>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</si>
  <si>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</si>
  <si>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</si>
  <si>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</si>
  <si>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</si>
  <si>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</si>
  <si>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</si>
  <si>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</si>
  <si>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</si>
  <si>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</si>
  <si>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</si>
  <si>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</si>
  <si>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</si>
  <si>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</si>
  <si>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</si>
  <si>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</si>
  <si>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</si>
  <si>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</si>
  <si>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</si>
  <si>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</si>
  <si>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</si>
  <si>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</si>
  <si>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</si>
  <si>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</si>
  <si>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</si>
  <si>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</si>
  <si>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</si>
  <si>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</si>
  <si>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</si>
  <si>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</si>
  <si>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</si>
  <si>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</si>
  <si>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</si>
  <si>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</si>
  <si>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</si>
  <si>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</si>
  <si>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</si>
  <si>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</si>
  <si>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</si>
  <si>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</si>
  <si>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</si>
  <si>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</si>
  <si>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</si>
  <si>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</si>
  <si>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</si>
  <si>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</si>
  <si>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</si>
  <si>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</si>
  <si>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</si>
  <si>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</si>
  <si>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</si>
  <si>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</si>
  <si>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</si>
  <si>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</si>
  <si>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</si>
  <si>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</si>
  <si>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</si>
  <si>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</si>
  <si>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</si>
  <si>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</si>
  <si>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</si>
  <si>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</si>
  <si>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</si>
  <si>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</si>
  <si>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</si>
  <si>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</si>
  <si>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</si>
  <si>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</si>
  <si>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</si>
  <si>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</si>
  <si>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</si>
  <si>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</si>
  <si>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</si>
  <si>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</si>
  <si>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</si>
  <si>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</si>
  <si>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</si>
  <si>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</si>
  <si>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</si>
  <si>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</si>
  <si>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</si>
  <si>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</si>
  <si>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</si>
  <si>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</si>
  <si>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</si>
  <si>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</si>
  <si>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</si>
  <si>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</si>
  <si>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</si>
  <si>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</si>
  <si>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</si>
  <si>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</si>
  <si>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</si>
  <si>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</si>
  <si>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</si>
  <si>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</si>
  <si>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</si>
  <si>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</si>
  <si>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</si>
  <si>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</si>
  <si>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</si>
  <si>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</si>
  <si>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</si>
  <si>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</si>
  <si>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</si>
  <si>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</si>
  <si>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</si>
  <si>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</si>
  <si>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</si>
  <si>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</si>
  <si>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</si>
  <si>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</si>
  <si>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</si>
  <si>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</si>
  <si>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</si>
  <si>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</si>
  <si>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</si>
  <si>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</si>
  <si>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</si>
  <si>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</si>
  <si>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</si>
  <si>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</si>
  <si>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</si>
  <si>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</si>
  <si>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</si>
  <si>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</si>
  <si>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</si>
  <si>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</si>
  <si>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</si>
  <si>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</si>
  <si>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</si>
  <si>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</si>
  <si>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</si>
  <si>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</si>
  <si>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</si>
  <si>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</si>
  <si>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</si>
  <si>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</si>
  <si>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</si>
  <si>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</si>
  <si>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</si>
  <si>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</si>
  <si>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</si>
  <si>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</si>
  <si>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</si>
  <si>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</si>
  <si>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</si>
  <si>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</si>
  <si>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</si>
  <si>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</si>
  <si>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</si>
  <si>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</si>
  <si>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</si>
  <si>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</si>
  <si>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</si>
  <si>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</si>
  <si>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</si>
  <si>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</si>
  <si>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</si>
  <si>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</si>
  <si>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</si>
  <si>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</si>
  <si>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</si>
  <si>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</si>
  <si>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</si>
  <si>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</si>
  <si>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</si>
  <si>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</si>
  <si>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</si>
  <si>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</si>
  <si>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</si>
  <si>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</si>
  <si>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</si>
  <si>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</si>
  <si>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</si>
  <si>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</si>
  <si>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</si>
  <si>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</si>
  <si>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</si>
  <si>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</si>
  <si>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</si>
  <si>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</si>
  <si>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</si>
  <si>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</si>
  <si>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</si>
  <si>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</si>
  <si>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</si>
  <si>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</si>
  <si>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</si>
  <si>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</si>
  <si>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</si>
  <si>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</si>
  <si>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</si>
  <si>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</si>
  <si>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</si>
  <si>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</si>
  <si>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</si>
  <si>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</si>
  <si>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</si>
  <si>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</si>
  <si>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</si>
  <si>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</si>
  <si>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</si>
  <si>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</si>
  <si>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</si>
  <si>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</si>
  <si>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</si>
  <si>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</si>
  <si>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</si>
  <si>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</si>
  <si>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</si>
  <si>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</si>
  <si>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</si>
  <si>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</si>
  <si>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</si>
  <si>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</si>
  <si>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</si>
  <si>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</si>
  <si>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</si>
  <si>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</si>
  <si>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</si>
  <si>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</si>
  <si>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</si>
  <si>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</si>
  <si>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</si>
  <si>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</si>
  <si>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</si>
  <si>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</si>
  <si>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</si>
  <si>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</si>
  <si>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</si>
  <si>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</si>
  <si>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</si>
  <si>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</si>
  <si>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</si>
  <si>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</si>
  <si>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</si>
  <si>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</si>
  <si>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</si>
  <si>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</si>
  <si>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</si>
  <si>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</si>
  <si>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</si>
  <si>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</si>
  <si>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</si>
  <si>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</si>
  <si>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</si>
  <si>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</si>
  <si>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</si>
  <si>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</si>
  <si>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</si>
  <si>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</si>
  <si>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</si>
  <si>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</si>
  <si>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</si>
  <si>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</si>
  <si>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</si>
  <si>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</si>
  <si>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</si>
  <si>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</si>
  <si>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</si>
  <si>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</si>
  <si>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</si>
  <si>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</si>
  <si>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</si>
  <si>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</si>
  <si>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</si>
  <si>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</si>
  <si>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</si>
  <si>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</si>
  <si>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</si>
  <si>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</si>
  <si>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</si>
  <si>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</si>
  <si>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</si>
  <si>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</si>
  <si>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</si>
  <si>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</si>
  <si>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</si>
  <si>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</si>
  <si>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</si>
  <si>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</si>
  <si>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</si>
  <si>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</si>
  <si>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</si>
  <si>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</si>
  <si>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</si>
  <si>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</si>
  <si>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</si>
  <si>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</si>
  <si>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</si>
  <si>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</si>
  <si>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</si>
  <si>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</si>
  <si>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</si>
  <si>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</si>
  <si>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</si>
  <si>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</si>
  <si>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</si>
  <si>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</si>
  <si>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</si>
  <si>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</si>
  <si>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</si>
  <si>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</si>
  <si>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</si>
  <si>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</si>
  <si>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</si>
  <si>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</si>
  <si>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</si>
  <si>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</si>
  <si>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</si>
  <si>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</si>
  <si>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</si>
  <si>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</si>
  <si>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</si>
  <si>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</si>
  <si>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</si>
  <si>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</si>
  <si>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</si>
  <si>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</si>
  <si>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</si>
  <si>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</si>
  <si>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</si>
  <si>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</si>
  <si>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</si>
  <si>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</si>
  <si>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</si>
  <si>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</si>
  <si>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</si>
  <si>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</si>
  <si>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</si>
  <si>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</si>
  <si>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</si>
  <si>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</si>
  <si>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</si>
  <si>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</si>
  <si>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</si>
  <si>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</si>
  <si>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</si>
  <si>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</si>
  <si>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</si>
  <si>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</si>
  <si>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</si>
  <si>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</si>
  <si>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</si>
  <si>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</si>
  <si>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</si>
  <si>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</si>
  <si>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</si>
  <si>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</si>
  <si>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</si>
  <si>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</si>
  <si>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</si>
  <si>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</si>
  <si>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</si>
  <si>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</si>
  <si>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</si>
  <si>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</si>
  <si>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</si>
  <si>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</si>
  <si>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</si>
  <si>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</si>
  <si>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</si>
  <si>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</si>
  <si>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</si>
  <si>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</si>
  <si>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</si>
  <si>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</si>
  <si>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</si>
  <si>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</si>
  <si>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</si>
  <si>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</si>
  <si>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</si>
  <si>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</si>
  <si>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</si>
  <si>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</si>
  <si>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</si>
  <si>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</si>
  <si>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</si>
  <si>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</si>
  <si>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</si>
  <si>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</si>
  <si>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</si>
  <si>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</si>
  <si>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</si>
  <si>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</si>
  <si>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</si>
  <si>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</si>
  <si>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</si>
  <si>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</si>
  <si>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</si>
  <si>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</si>
  <si>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</si>
  <si>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</si>
  <si>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</si>
  <si>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</si>
  <si>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</si>
  <si>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</si>
  <si>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</si>
  <si>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</si>
  <si>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</si>
  <si>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</si>
  <si>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</si>
  <si>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</si>
  <si>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</si>
  <si>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</si>
  <si>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</si>
  <si>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</si>
  <si>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</si>
  <si>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</si>
  <si>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</si>
  <si>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</si>
  <si>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</si>
  <si>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</si>
  <si>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</si>
  <si>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</si>
  <si>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</si>
  <si>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</si>
  <si>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</si>
  <si>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</si>
  <si>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</si>
  <si>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</si>
  <si>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</si>
  <si>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</si>
  <si>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</si>
  <si>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</si>
  <si>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</si>
  <si>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</si>
  <si>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</si>
  <si>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</si>
  <si>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</si>
  <si>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</si>
  <si>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</si>
  <si>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</si>
  <si>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</si>
  <si>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</si>
  <si>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</si>
  <si>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</si>
  <si>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</si>
  <si>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</si>
  <si>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</si>
  <si>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</si>
  <si>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</si>
  <si>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</si>
  <si>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</si>
  <si>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</si>
  <si>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</si>
  <si>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</si>
  <si>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</si>
  <si>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</si>
  <si>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</si>
  <si>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</si>
  <si>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</si>
  <si>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</si>
  <si>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</si>
  <si>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</si>
  <si>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</si>
  <si>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</si>
  <si>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</si>
  <si>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</si>
  <si>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</si>
  <si>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</si>
  <si>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</si>
  <si>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</si>
  <si>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</si>
  <si>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</si>
  <si>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</si>
  <si>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</si>
  <si>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</si>
  <si>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</si>
  <si>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</si>
  <si>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</si>
  <si>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</si>
  <si>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</si>
  <si>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</si>
  <si>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</si>
  <si>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</si>
  <si>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</si>
  <si>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</si>
  <si>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</si>
  <si>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</si>
  <si>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</si>
  <si>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</si>
  <si>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</si>
  <si>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</si>
  <si>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</si>
  <si>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</si>
  <si>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</si>
  <si>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</si>
  <si>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</si>
  <si>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</si>
  <si>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</si>
  <si>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</si>
  <si>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</si>
  <si>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</si>
  <si>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</si>
  <si>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</si>
  <si>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</si>
  <si>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</si>
  <si>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</si>
  <si>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</si>
  <si>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</si>
  <si>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</si>
  <si>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</si>
  <si>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</si>
  <si>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</si>
  <si>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</si>
  <si>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</si>
  <si>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</si>
  <si>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</si>
  <si>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</si>
  <si>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</si>
  <si>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</si>
  <si>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</si>
  <si>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</si>
  <si>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</si>
  <si>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</si>
  <si>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</si>
  <si>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</si>
  <si>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</si>
  <si>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</si>
  <si>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</si>
  <si>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</si>
  <si>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</si>
  <si>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</si>
  <si>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</si>
  <si>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</si>
  <si>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</si>
  <si>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</si>
  <si>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</si>
  <si>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</si>
  <si>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</si>
  <si>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</si>
  <si>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</si>
  <si>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</si>
  <si>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</si>
  <si>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</si>
  <si>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</si>
  <si>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</si>
  <si>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</si>
  <si>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</si>
  <si>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</si>
  <si>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</si>
  <si>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</si>
  <si>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</si>
  <si>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</si>
  <si>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</si>
  <si>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</si>
  <si>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</si>
  <si>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</si>
  <si>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</si>
  <si>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</si>
  <si>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</si>
  <si>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</si>
  <si>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</si>
  <si>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</si>
  <si>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</si>
  <si>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</si>
  <si>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</si>
  <si>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</si>
  <si>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</si>
  <si>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</si>
  <si>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</si>
  <si>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</si>
  <si>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</si>
  <si>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</si>
  <si>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</si>
  <si>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</si>
  <si>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</si>
  <si>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</si>
  <si>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</si>
  <si>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</si>
  <si>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</si>
  <si>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</si>
  <si>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</si>
  <si>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</si>
  <si>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</si>
  <si>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</si>
  <si>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</si>
  <si>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</si>
  <si>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</si>
  <si>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</si>
  <si>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</si>
  <si>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</si>
  <si>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</si>
  <si>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</si>
  <si>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</si>
  <si>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</si>
  <si>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</si>
  <si>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</si>
  <si>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</si>
  <si>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</si>
  <si>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</si>
  <si>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</si>
  <si>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</si>
  <si>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</si>
  <si>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</si>
  <si>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</si>
  <si>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</si>
  <si>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</si>
  <si>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</si>
  <si>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</si>
  <si>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</si>
  <si>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</si>
  <si>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</si>
  <si>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</si>
  <si>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</si>
  <si>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</si>
  <si>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</si>
  <si>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</si>
  <si>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</si>
  <si>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</si>
  <si>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</si>
  <si>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</si>
  <si>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</si>
  <si>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</si>
  <si>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</si>
  <si>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</si>
  <si>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</si>
  <si>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</si>
  <si>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</si>
  <si>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</si>
  <si>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</si>
  <si>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</si>
  <si>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</si>
  <si>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</si>
  <si>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</si>
  <si>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</si>
  <si>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</si>
  <si>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</si>
  <si>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</si>
  <si>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</si>
  <si>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</si>
  <si>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</si>
  <si>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</si>
  <si>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</si>
  <si>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</si>
  <si>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</si>
  <si>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</si>
  <si>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</si>
  <si>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</si>
  <si>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</si>
  <si>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</si>
  <si>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</si>
  <si>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</si>
  <si>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</si>
  <si>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</si>
  <si>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</si>
  <si>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</si>
  <si>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</si>
  <si>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</si>
  <si>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</si>
  <si>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</si>
  <si>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</si>
  <si>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</si>
  <si>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</si>
  <si>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</si>
  <si>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</si>
  <si>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</si>
  <si>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</si>
  <si>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</si>
  <si>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</si>
  <si>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</si>
  <si>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</si>
  <si>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</si>
  <si>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</si>
  <si>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</si>
  <si>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</si>
  <si>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</si>
  <si>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</si>
  <si>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</si>
  <si>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</si>
  <si>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</si>
  <si>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</si>
  <si>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</si>
  <si>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</si>
  <si>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</si>
  <si>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</si>
  <si>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</si>
  <si>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</si>
  <si>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</si>
  <si>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</si>
  <si>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</si>
  <si>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</si>
  <si>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</si>
  <si>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</si>
  <si>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</si>
  <si>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</si>
  <si>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</si>
  <si>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</si>
  <si>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</si>
  <si>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</si>
  <si>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</si>
  <si>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</si>
  <si>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</si>
  <si>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</si>
  <si>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</si>
  <si>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</si>
  <si>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</si>
  <si>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</si>
  <si>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</si>
  <si>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</si>
  <si>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</si>
  <si>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</si>
  <si>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</si>
  <si>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</si>
  <si>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</si>
  <si>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</si>
  <si>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</si>
  <si>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</si>
  <si>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</si>
  <si>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</si>
  <si>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</si>
  <si>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</si>
  <si>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</si>
  <si>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</si>
  <si>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</si>
  <si>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</si>
  <si>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</si>
  <si>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</si>
  <si>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</si>
  <si>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</si>
  <si>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</si>
  <si>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</si>
  <si>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</si>
  <si>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</si>
  <si>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</si>
  <si>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</si>
  <si>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</si>
  <si>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</si>
  <si>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</si>
  <si>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</si>
  <si>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</si>
  <si>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</si>
  <si>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</si>
  <si>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</si>
  <si>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</si>
  <si>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</si>
  <si>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</si>
  <si>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</si>
  <si>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</si>
  <si>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</si>
  <si>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</si>
  <si>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</si>
  <si>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</si>
  <si>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</si>
  <si>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</si>
  <si>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</si>
  <si>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</si>
  <si>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</si>
  <si>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</si>
  <si>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</si>
  <si>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</si>
  <si>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</si>
  <si>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</si>
  <si>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</si>
  <si>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</si>
  <si>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</si>
  <si>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</si>
  <si>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</si>
  <si>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</si>
  <si>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</si>
  <si>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</si>
  <si>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</si>
  <si>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</si>
  <si>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</si>
  <si>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</si>
  <si>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</si>
  <si>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</si>
  <si>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</si>
  <si>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</si>
  <si>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</si>
  <si>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</si>
  <si>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</si>
  <si>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</si>
  <si>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</si>
  <si>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</si>
  <si>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</si>
  <si>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</si>
  <si>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</si>
  <si>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</si>
  <si>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</si>
  <si>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</si>
  <si>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</si>
  <si>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</si>
  <si>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</si>
  <si>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</si>
  <si>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</si>
  <si>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</si>
  <si>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</si>
  <si>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</si>
  <si>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</si>
  <si>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</si>
  <si>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</si>
  <si>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</si>
  <si>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</si>
  <si>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</si>
  <si>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</si>
  <si>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</si>
  <si>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</si>
  <si>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</si>
  <si>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</si>
  <si>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</si>
  <si>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</si>
  <si>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</si>
  <si>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</si>
  <si>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</si>
  <si>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</si>
  <si>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</si>
  <si>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</si>
  <si>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</si>
  <si>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</si>
  <si>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</si>
  <si>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</si>
  <si>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</si>
  <si>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</si>
  <si>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</si>
  <si>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</si>
  <si>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</si>
  <si>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</si>
  <si>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</si>
  <si>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</si>
  <si>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</si>
  <si>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</si>
  <si>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</si>
  <si>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</si>
  <si>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</si>
  <si>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</si>
  <si>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</si>
  <si>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</si>
  <si>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</si>
  <si>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</si>
  <si>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</si>
  <si>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</si>
  <si>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</si>
  <si>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</si>
  <si>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</si>
  <si>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</si>
  <si>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</si>
  <si>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</si>
  <si>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</si>
  <si>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</si>
  <si>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</si>
  <si>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</si>
  <si>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</si>
  <si>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</si>
  <si>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</si>
  <si>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</si>
  <si>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</si>
  <si>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</si>
  <si>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</si>
  <si>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</si>
  <si>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</si>
  <si>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</si>
  <si>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</si>
  <si>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</si>
  <si>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</si>
  <si>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</si>
  <si>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</si>
  <si>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</si>
  <si>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</si>
  <si>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</si>
  <si>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</si>
  <si>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</si>
  <si>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</si>
  <si>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</si>
  <si>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</si>
  <si>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</si>
  <si>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</si>
  <si>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</si>
  <si>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</si>
  <si>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</si>
  <si>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</si>
  <si>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</si>
  <si>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</si>
  <si>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</si>
  <si>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</si>
  <si>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</si>
  <si>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</si>
  <si>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</si>
  <si>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</si>
  <si>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</si>
  <si>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</si>
  <si>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</si>
  <si>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</si>
  <si>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</si>
  <si>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</si>
  <si>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</si>
  <si>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</si>
  <si>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</si>
  <si>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</si>
  <si>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</si>
  <si>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</si>
  <si>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</si>
  <si>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</si>
  <si>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</si>
  <si>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</si>
  <si>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</si>
  <si>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</si>
  <si>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</si>
  <si>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</si>
  <si>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</si>
  <si>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</si>
  <si>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</si>
  <si>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</si>
  <si>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</si>
  <si>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</si>
  <si>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</si>
  <si>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</si>
  <si>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</si>
  <si>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</si>
  <si>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</si>
  <si>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</si>
  <si>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</si>
  <si>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</si>
  <si>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</si>
  <si>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</si>
  <si>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</si>
  <si>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</si>
  <si>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</si>
  <si>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</si>
  <si>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</si>
  <si>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</si>
  <si>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</si>
  <si>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</si>
  <si>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2020 y al 30 de marzo de 2021 (b)</t>
  </si>
  <si>
    <t>Del 1 de enero al 30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</si>
</sst>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zoomScale="70" zoomScaleNormal="70" workbookViewId="0">
      <selection activeCell="C22" sqref="C2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30 de marzo de 2021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409525339.18000001</v>
      </c>
      <c r="C8" s="40">
        <f t="shared" ref="C8:D8" si="0">SUM(C9:C11)</f>
        <v>-616.67999999999995</v>
      </c>
      <c r="D8" s="40">
        <f t="shared" si="0"/>
        <v>208920650.06</v>
      </c>
    </row>
    <row r="9" spans="1:11" x14ac:dyDescent="0.25">
      <c r="A9" s="53" t="s">
        <v>169</v>
      </c>
      <c r="B9" s="23">
        <v>165536808.33000001</v>
      </c>
      <c r="C9" s="23">
        <v>0.84</v>
      </c>
      <c r="D9" s="23">
        <v>100664299.73999999</v>
      </c>
    </row>
    <row r="10" spans="1:11" x14ac:dyDescent="0.25">
      <c r="A10" s="53" t="s">
        <v>170</v>
      </c>
      <c r="B10" s="23">
        <v>243988530.84999999</v>
      </c>
      <c r="C10" s="23">
        <v>-617.52</v>
      </c>
      <c r="D10" s="23">
        <v>108256350.31999999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409525339.18000001</v>
      </c>
      <c r="C13" s="40">
        <f t="shared" ref="C13:D13" si="2">C14+C15</f>
        <v>2471952.19</v>
      </c>
      <c r="D13" s="40">
        <f t="shared" si="2"/>
        <v>90171799.659999996</v>
      </c>
    </row>
    <row r="14" spans="1:11" x14ac:dyDescent="0.25">
      <c r="A14" s="53" t="s">
        <v>172</v>
      </c>
      <c r="B14" s="23">
        <v>165536808.33000001</v>
      </c>
      <c r="C14" s="23">
        <v>117412.35</v>
      </c>
      <c r="D14" s="23">
        <v>38187008.530000001</v>
      </c>
    </row>
    <row r="15" spans="1:11" x14ac:dyDescent="0.25">
      <c r="A15" s="53" t="s">
        <v>173</v>
      </c>
      <c r="B15" s="23">
        <v>243988530.84999999</v>
      </c>
      <c r="C15" s="23">
        <v>2354539.84</v>
      </c>
      <c r="D15" s="23">
        <v>51984791.130000003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-2472568.8699999996</v>
      </c>
      <c r="D17" s="40">
        <f>D18+D19</f>
        <v>118748850.40000001</v>
      </c>
    </row>
    <row r="18" spans="1:4" x14ac:dyDescent="0.25">
      <c r="A18" s="53" t="s">
        <v>175</v>
      </c>
      <c r="B18" s="119">
        <v>0</v>
      </c>
      <c r="C18" s="23">
        <v>-117411.51</v>
      </c>
      <c r="D18" s="23">
        <v>62477291.210000001</v>
      </c>
    </row>
    <row r="19" spans="1:4" x14ac:dyDescent="0.25">
      <c r="A19" s="53" t="s">
        <v>176</v>
      </c>
      <c r="B19" s="119">
        <v>0</v>
      </c>
      <c r="C19" s="23">
        <v>-2355157.36</v>
      </c>
      <c r="D19" s="117">
        <v>56271559.189999998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-4945137.74</v>
      </c>
      <c r="D21" s="40">
        <f t="shared" ref="D21" si="4">D8-D13+D17</f>
        <v>237497700.80000001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-4945137.74</v>
      </c>
      <c r="D23" s="40">
        <f t="shared" si="5"/>
        <v>237497700.80000001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6">C23-C17</f>
        <v>-2472568.8700000006</v>
      </c>
      <c r="D25" s="40">
        <f>D23-D17</f>
        <v>118748850.40000001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-2472568.8700000006</v>
      </c>
      <c r="D33" s="61">
        <f t="shared" si="8"/>
        <v>118748850.40000001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165536808.33000001</v>
      </c>
      <c r="C48" s="124">
        <f>C9</f>
        <v>0.84</v>
      </c>
      <c r="D48" s="124">
        <f t="shared" ref="D48" si="12">D9</f>
        <v>100664299.73999999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165536808.33000001</v>
      </c>
      <c r="C53" s="60">
        <f t="shared" ref="C53:D53" si="14">C14</f>
        <v>117412.35</v>
      </c>
      <c r="D53" s="60">
        <f t="shared" si="14"/>
        <v>38187008.530000001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-117411.51</v>
      </c>
      <c r="D55" s="60">
        <f t="shared" si="15"/>
        <v>62477291.210000001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-234823.02000000002</v>
      </c>
      <c r="D57" s="61">
        <f t="shared" ref="D57" si="16">D48+D49-D53+D55</f>
        <v>124954582.41999999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-234823.02000000002</v>
      </c>
      <c r="D59" s="61">
        <f t="shared" si="17"/>
        <v>124954582.41999999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243988530.84999999</v>
      </c>
      <c r="C63" s="122">
        <f t="shared" ref="C63:D63" si="18">C10</f>
        <v>-617.52</v>
      </c>
      <c r="D63" s="122">
        <f t="shared" si="18"/>
        <v>108256350.31999999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1</v>
      </c>
      <c r="C65" s="23">
        <v>1</v>
      </c>
      <c r="D65" s="23">
        <v>1</v>
      </c>
    </row>
    <row r="66" spans="1:4" x14ac:dyDescent="0.25">
      <c r="A66" s="128" t="s">
        <v>196</v>
      </c>
      <c r="B66" s="23">
        <v>1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243988530.84999999</v>
      </c>
      <c r="C68" s="23">
        <f t="shared" ref="C68:D68" si="20">C15</f>
        <v>2354539.84</v>
      </c>
      <c r="D68" s="23">
        <f t="shared" si="20"/>
        <v>51984791.130000003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-2355157.36</v>
      </c>
      <c r="D70" s="23">
        <f t="shared" si="21"/>
        <v>56271559.189999998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-4710314.72</v>
      </c>
      <c r="D72" s="40">
        <f t="shared" si="22"/>
        <v>112543118.38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-4710314.72</v>
      </c>
      <c r="D74" s="40">
        <f t="shared" ref="D74" si="23">D72-D64</f>
        <v>112543118.38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409525339.18000001</v>
      </c>
      <c r="Q2" s="18">
        <f>'Formato 4'!C8</f>
        <v>-616.67999999999995</v>
      </c>
      <c r="R2" s="18">
        <f>'Formato 4'!D8</f>
        <v>208920650.06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165536808.33000001</v>
      </c>
      <c r="Q3" s="18">
        <f>'Formato 4'!C9</f>
        <v>0.84</v>
      </c>
      <c r="R3" s="18">
        <f>'Formato 4'!D9</f>
        <v>100664299.73999999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243988530.84999999</v>
      </c>
      <c r="Q4" s="18">
        <f>'Formato 4'!C10</f>
        <v>-617.52</v>
      </c>
      <c r="R4" s="18">
        <f>'Formato 4'!D10</f>
        <v>108256350.31999999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409525339.18000001</v>
      </c>
      <c r="Q6" s="18">
        <f>'Formato 4'!C13</f>
        <v>2471952.19</v>
      </c>
      <c r="R6" s="18">
        <f>'Formato 4'!D13</f>
        <v>90171799.659999996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165536808.33000001</v>
      </c>
      <c r="Q7" s="18">
        <f>'Formato 4'!C14</f>
        <v>117412.35</v>
      </c>
      <c r="R7" s="18">
        <f>'Formato 4'!D14</f>
        <v>38187008.530000001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243988530.84999999</v>
      </c>
      <c r="Q8" s="18">
        <f>'Formato 4'!C15</f>
        <v>2354539.84</v>
      </c>
      <c r="R8" s="18">
        <f>'Formato 4'!D15</f>
        <v>51984791.130000003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-2472568.8699999996</v>
      </c>
      <c r="R9" s="18">
        <f>'Formato 4'!D17</f>
        <v>118748850.40000001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-117411.51</v>
      </c>
      <c r="R10" s="18">
        <f>'Formato 4'!D18</f>
        <v>62477291.210000001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-2355157.36</v>
      </c>
      <c r="R11" s="18">
        <f>'Formato 4'!D19</f>
        <v>56271559.189999998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-4945137.74</v>
      </c>
      <c r="R12" s="18">
        <f>'Formato 4'!D21</f>
        <v>237497700.80000001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-4945137.74</v>
      </c>
      <c r="R13" s="18">
        <f>'Formato 4'!D23</f>
        <v>237497700.80000001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-2472568.8700000006</v>
      </c>
      <c r="R14" s="18">
        <f>'Formato 4'!D25</f>
        <v>118748850.40000001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-2472568.8700000006</v>
      </c>
      <c r="R18">
        <f>'Formato 4'!D33</f>
        <v>118748850.40000001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165536808.33000001</v>
      </c>
      <c r="Q26">
        <f>'Formato 4'!C48</f>
        <v>0.84</v>
      </c>
      <c r="R26">
        <f>'Formato 4'!D48</f>
        <v>100664299.73999999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165536808.33000001</v>
      </c>
      <c r="Q30">
        <f>'Formato 4'!C53</f>
        <v>117412.35</v>
      </c>
      <c r="R30">
        <f>'Formato 4'!D53</f>
        <v>38187008.530000001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-117411.51</v>
      </c>
      <c r="R31">
        <f>'Formato 4'!D55</f>
        <v>62477291.210000001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243988530.84999999</v>
      </c>
      <c r="Q32">
        <f>'Formato 4'!C63</f>
        <v>-617.52</v>
      </c>
      <c r="R32">
        <f>'Formato 4'!D63</f>
        <v>108256350.31999999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1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1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243988530.84999999</v>
      </c>
      <c r="Q36">
        <f>'Formato 4'!C68</f>
        <v>2354539.84</v>
      </c>
      <c r="R36">
        <f>'Formato 4'!D68</f>
        <v>51984791.130000003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-2355157.36</v>
      </c>
      <c r="R37">
        <f>'Formato 4'!D70</f>
        <v>56271559.189999998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-4710314.72</v>
      </c>
      <c r="R38">
        <f>'Formato 4'!D72</f>
        <v>112543118.38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-4710314.72</v>
      </c>
      <c r="R39">
        <f>'Formato 4'!D74</f>
        <v>112543118.38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40" zoomScale="85" zoomScaleNormal="85" workbookViewId="0">
      <selection activeCell="C72" sqref="C72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30 de marzo de 2021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19587424.489999998</v>
      </c>
      <c r="C9" s="60">
        <v>1578321.12</v>
      </c>
      <c r="D9" s="60">
        <v>21165745.609999999</v>
      </c>
      <c r="E9" s="60">
        <v>17727869.390000001</v>
      </c>
      <c r="F9" s="60">
        <v>17727869.390000001</v>
      </c>
      <c r="G9" s="60">
        <f>F9-B9</f>
        <v>-1859555.0999999978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4384837.59</v>
      </c>
      <c r="C12" s="60">
        <v>1018955.66</v>
      </c>
      <c r="D12" s="60">
        <v>5403793.25</v>
      </c>
      <c r="E12" s="60">
        <v>1815307.82</v>
      </c>
      <c r="F12" s="60">
        <v>1815307.82</v>
      </c>
      <c r="G12" s="60">
        <f t="shared" si="0"/>
        <v>-2569529.7699999996</v>
      </c>
    </row>
    <row r="13" spans="1:8" x14ac:dyDescent="0.25">
      <c r="A13" s="53" t="s">
        <v>220</v>
      </c>
      <c r="B13" s="60">
        <v>5750600</v>
      </c>
      <c r="C13" s="60">
        <v>-2082459.73</v>
      </c>
      <c r="D13" s="60">
        <v>3668140.27</v>
      </c>
      <c r="E13" s="60">
        <v>885950.9</v>
      </c>
      <c r="F13" s="60">
        <v>885950.06</v>
      </c>
      <c r="G13" s="60">
        <f t="shared" si="0"/>
        <v>-4864649.9399999995</v>
      </c>
    </row>
    <row r="14" spans="1:8" x14ac:dyDescent="0.25">
      <c r="A14" s="53" t="s">
        <v>221</v>
      </c>
      <c r="B14" s="60">
        <v>1927280.89</v>
      </c>
      <c r="C14" s="60">
        <v>-254740.12</v>
      </c>
      <c r="D14" s="60">
        <v>1672540.77</v>
      </c>
      <c r="E14" s="60">
        <v>439504.47</v>
      </c>
      <c r="F14" s="60">
        <v>439504.47</v>
      </c>
      <c r="G14" s="60">
        <f t="shared" si="0"/>
        <v>-1487776.42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117718799.59999999</v>
      </c>
      <c r="C16" s="60">
        <f t="shared" ref="C16:F16" si="1">SUM(C17:C27)</f>
        <v>5729930.8100000005</v>
      </c>
      <c r="D16" s="60">
        <f t="shared" si="1"/>
        <v>123448730.41</v>
      </c>
      <c r="E16" s="60">
        <f t="shared" si="1"/>
        <v>31512882.75</v>
      </c>
      <c r="F16" s="60">
        <f t="shared" si="1"/>
        <v>31512882.75</v>
      </c>
      <c r="G16" s="60">
        <f>SUM(G17:G27)</f>
        <v>-86205916.850000009</v>
      </c>
    </row>
    <row r="17" spans="1:7" x14ac:dyDescent="0.25">
      <c r="A17" s="63" t="s">
        <v>223</v>
      </c>
      <c r="B17" s="60">
        <v>74374362.629999995</v>
      </c>
      <c r="C17" s="60">
        <v>6562729.3700000001</v>
      </c>
      <c r="D17" s="60">
        <v>80937092</v>
      </c>
      <c r="E17" s="60">
        <v>21093979.27</v>
      </c>
      <c r="F17" s="60">
        <v>21093979.27</v>
      </c>
      <c r="G17" s="60">
        <f>F17-B17</f>
        <v>-53280383.359999999</v>
      </c>
    </row>
    <row r="18" spans="1:7" x14ac:dyDescent="0.25">
      <c r="A18" s="63" t="s">
        <v>224</v>
      </c>
      <c r="B18" s="60">
        <v>25323010</v>
      </c>
      <c r="C18" s="60">
        <v>-503022</v>
      </c>
      <c r="D18" s="60">
        <v>24819988</v>
      </c>
      <c r="E18" s="60">
        <v>6536857.46</v>
      </c>
      <c r="F18" s="60">
        <v>6536857.46</v>
      </c>
      <c r="G18" s="60">
        <f t="shared" ref="G18:G27" si="2">F18-B18</f>
        <v>-18786152.539999999</v>
      </c>
    </row>
    <row r="19" spans="1:7" x14ac:dyDescent="0.25">
      <c r="A19" s="63" t="s">
        <v>225</v>
      </c>
      <c r="B19" s="60">
        <v>4901425</v>
      </c>
      <c r="C19" s="60">
        <v>-383212</v>
      </c>
      <c r="D19" s="60">
        <v>4518213</v>
      </c>
      <c r="E19" s="60">
        <v>978312.77</v>
      </c>
      <c r="F19" s="60">
        <v>978312.77</v>
      </c>
      <c r="G19" s="60">
        <f t="shared" si="2"/>
        <v>-3923112.23</v>
      </c>
    </row>
    <row r="20" spans="1:7" x14ac:dyDescent="0.25">
      <c r="A20" s="63" t="s">
        <v>226</v>
      </c>
      <c r="B20" s="60"/>
      <c r="C20" s="60"/>
      <c r="D20" s="60">
        <v>0</v>
      </c>
      <c r="E20" s="60"/>
      <c r="F20" s="60"/>
      <c r="G20" s="60">
        <f t="shared" si="2"/>
        <v>0</v>
      </c>
    </row>
    <row r="21" spans="1:7" x14ac:dyDescent="0.25">
      <c r="A21" s="63" t="s">
        <v>227</v>
      </c>
      <c r="B21" s="60"/>
      <c r="C21" s="60"/>
      <c r="D21" s="60">
        <v>0</v>
      </c>
      <c r="E21" s="60"/>
      <c r="F21" s="60"/>
      <c r="G21" s="60">
        <f t="shared" si="2"/>
        <v>0</v>
      </c>
    </row>
    <row r="22" spans="1:7" x14ac:dyDescent="0.25">
      <c r="A22" s="63" t="s">
        <v>228</v>
      </c>
      <c r="B22" s="60">
        <v>3374751</v>
      </c>
      <c r="C22" s="60">
        <v>-800949</v>
      </c>
      <c r="D22" s="60">
        <v>2573802</v>
      </c>
      <c r="E22" s="60">
        <v>939677.85</v>
      </c>
      <c r="F22" s="60">
        <v>939677.85</v>
      </c>
      <c r="G22" s="60">
        <f t="shared" si="2"/>
        <v>-2435073.15</v>
      </c>
    </row>
    <row r="23" spans="1:7" x14ac:dyDescent="0.25">
      <c r="A23" s="63" t="s">
        <v>229</v>
      </c>
      <c r="B23" s="60"/>
      <c r="C23" s="60"/>
      <c r="D23" s="60">
        <v>0</v>
      </c>
      <c r="E23" s="60"/>
      <c r="F23" s="60"/>
      <c r="G23" s="60">
        <f t="shared" si="2"/>
        <v>0</v>
      </c>
    </row>
    <row r="24" spans="1:7" x14ac:dyDescent="0.25">
      <c r="A24" s="63" t="s">
        <v>230</v>
      </c>
      <c r="B24" s="60"/>
      <c r="C24" s="60"/>
      <c r="D24" s="60">
        <v>0</v>
      </c>
      <c r="E24" s="60"/>
      <c r="F24" s="60"/>
      <c r="G24" s="60">
        <f t="shared" si="2"/>
        <v>0</v>
      </c>
    </row>
    <row r="25" spans="1:7" x14ac:dyDescent="0.25">
      <c r="A25" s="63" t="s">
        <v>231</v>
      </c>
      <c r="B25" s="60">
        <v>3267888</v>
      </c>
      <c r="C25" s="60">
        <v>-620975</v>
      </c>
      <c r="D25" s="60">
        <v>2646913</v>
      </c>
      <c r="E25" s="60">
        <v>331970.40000000002</v>
      </c>
      <c r="F25" s="60">
        <v>331970.40000000002</v>
      </c>
      <c r="G25" s="60">
        <f t="shared" si="2"/>
        <v>-2935917.6</v>
      </c>
    </row>
    <row r="26" spans="1:7" x14ac:dyDescent="0.25">
      <c r="A26" s="63" t="s">
        <v>232</v>
      </c>
      <c r="B26" s="60">
        <v>6477362.9699999997</v>
      </c>
      <c r="C26" s="60">
        <v>1475359.44</v>
      </c>
      <c r="D26" s="60">
        <v>7952722.4100000001</v>
      </c>
      <c r="E26" s="60">
        <v>1632085</v>
      </c>
      <c r="F26" s="60">
        <v>1632085</v>
      </c>
      <c r="G26" s="60">
        <f t="shared" si="2"/>
        <v>-4845277.97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1667865.76</v>
      </c>
      <c r="C28" s="60">
        <f t="shared" ref="C28:G28" si="3">SUM(C29:C33)</f>
        <v>-155115.76</v>
      </c>
      <c r="D28" s="60">
        <f t="shared" si="3"/>
        <v>1512750</v>
      </c>
      <c r="E28" s="60">
        <f t="shared" si="3"/>
        <v>635828.06999999995</v>
      </c>
      <c r="F28" s="60">
        <f t="shared" si="3"/>
        <v>635828.06999999995</v>
      </c>
      <c r="G28" s="60">
        <f t="shared" si="3"/>
        <v>-1032037.6900000001</v>
      </c>
    </row>
    <row r="29" spans="1:7" x14ac:dyDescent="0.25">
      <c r="A29" s="63" t="s">
        <v>235</v>
      </c>
      <c r="B29" s="60">
        <v>7350</v>
      </c>
      <c r="C29" s="60">
        <v>-7350</v>
      </c>
      <c r="D29" s="60">
        <v>0</v>
      </c>
      <c r="E29" s="60">
        <v>7778.83</v>
      </c>
      <c r="F29" s="60">
        <v>7778.83</v>
      </c>
      <c r="G29" s="60">
        <f>F29-B29</f>
        <v>428.82999999999993</v>
      </c>
    </row>
    <row r="30" spans="1:7" x14ac:dyDescent="0.25">
      <c r="A30" s="63" t="s">
        <v>236</v>
      </c>
      <c r="B30" s="60">
        <v>238061</v>
      </c>
      <c r="C30" s="60">
        <v>13758</v>
      </c>
      <c r="D30" s="60">
        <v>251819</v>
      </c>
      <c r="E30" s="60">
        <v>166584.25</v>
      </c>
      <c r="F30" s="60">
        <v>166584.25</v>
      </c>
      <c r="G30" s="60">
        <f>F30-B30</f>
        <v>-71476.75</v>
      </c>
    </row>
    <row r="31" spans="1:7" x14ac:dyDescent="0.25">
      <c r="A31" s="63" t="s">
        <v>237</v>
      </c>
      <c r="B31" s="60">
        <v>1146354</v>
      </c>
      <c r="C31" s="60">
        <v>-309668</v>
      </c>
      <c r="D31" s="60">
        <v>836686</v>
      </c>
      <c r="E31" s="60">
        <v>230195.84</v>
      </c>
      <c r="F31" s="60">
        <v>230195.84</v>
      </c>
      <c r="G31" s="60">
        <f t="shared" ref="G31:G34" si="4">F31-B31</f>
        <v>-916158.16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276100.76</v>
      </c>
      <c r="C33" s="60">
        <v>148144.24</v>
      </c>
      <c r="D33" s="60">
        <v>424245</v>
      </c>
      <c r="E33" s="60">
        <v>231269.15</v>
      </c>
      <c r="F33" s="60">
        <v>231269.15</v>
      </c>
      <c r="G33" s="60">
        <f t="shared" si="4"/>
        <v>-44831.610000000015</v>
      </c>
    </row>
    <row r="34" spans="1:8" ht="14.25" x14ac:dyDescent="0.4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ht="14.25" x14ac:dyDescent="0.45">
      <c r="A35" s="53" t="s">
        <v>241</v>
      </c>
      <c r="B35" s="60">
        <f>B36</f>
        <v>0</v>
      </c>
      <c r="C35" s="60">
        <f t="shared" ref="C35:F35" si="5">C36</f>
        <v>-4222937.4400000004</v>
      </c>
      <c r="D35" s="60">
        <f t="shared" si="5"/>
        <v>-4222937.4400000004</v>
      </c>
      <c r="E35" s="60">
        <f t="shared" si="5"/>
        <v>843521.1</v>
      </c>
      <c r="F35" s="60">
        <f t="shared" si="5"/>
        <v>843521.1</v>
      </c>
      <c r="G35" s="60">
        <f>G36</f>
        <v>843521.1</v>
      </c>
    </row>
    <row r="36" spans="1:8" x14ac:dyDescent="0.25">
      <c r="A36" s="63" t="s">
        <v>242</v>
      </c>
      <c r="B36" s="60">
        <v>0</v>
      </c>
      <c r="C36" s="60">
        <v>-4222937.4400000004</v>
      </c>
      <c r="D36" s="60">
        <v>-4222937.4400000004</v>
      </c>
      <c r="E36" s="60">
        <v>843521.1</v>
      </c>
      <c r="F36" s="60">
        <v>843521.1</v>
      </c>
      <c r="G36" s="60">
        <f>F36-B36</f>
        <v>843521.1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>
        <f>F38-B38</f>
        <v>0</v>
      </c>
    </row>
    <row r="39" spans="1:8" x14ac:dyDescent="0.25">
      <c r="A39" s="63" t="s">
        <v>245</v>
      </c>
      <c r="B39" s="60"/>
      <c r="C39" s="60"/>
      <c r="D39" s="60"/>
      <c r="E39" s="60"/>
      <c r="F39" s="60"/>
      <c r="G39" s="60">
        <f>F39-B39</f>
        <v>0</v>
      </c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151036808.32999998</v>
      </c>
      <c r="C41" s="61">
        <f t="shared" ref="C41:E41" si="7">SUM(C9,C10,C11,C12,C13,C14,C15,C16,C28,C34,C35,C37)</f>
        <v>1611954.540000001</v>
      </c>
      <c r="D41" s="61">
        <f t="shared" si="7"/>
        <v>152648762.87</v>
      </c>
      <c r="E41" s="61">
        <f t="shared" si="7"/>
        <v>53860864.5</v>
      </c>
      <c r="F41" s="61">
        <f>SUM(F9,F10,F11,F12,F13,F14,F15,F16,F28,F34,F35,F37)</f>
        <v>53860863.659999996</v>
      </c>
      <c r="G41" s="61">
        <f>SUM(G9,G10,G11,G12,G13,G14,G15,G16,G28,G34,G35,G37)</f>
        <v>-97175944.670000017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208488530.84999999</v>
      </c>
      <c r="C45" s="60">
        <f t="shared" ref="C45:G45" si="8">SUM(C46:C53)</f>
        <v>-1363168.85</v>
      </c>
      <c r="D45" s="60">
        <f t="shared" si="8"/>
        <v>207125362</v>
      </c>
      <c r="E45" s="60">
        <f t="shared" si="8"/>
        <v>58150268.079999998</v>
      </c>
      <c r="F45" s="60">
        <f t="shared" si="8"/>
        <v>58150268.079999998</v>
      </c>
      <c r="G45" s="60">
        <f t="shared" si="8"/>
        <v>-150338262.77000001</v>
      </c>
    </row>
    <row r="46" spans="1:8" x14ac:dyDescent="0.25">
      <c r="A46" s="69" t="s">
        <v>249</v>
      </c>
      <c r="B46" s="60"/>
      <c r="C46" s="60"/>
      <c r="D46" s="60">
        <v>0</v>
      </c>
      <c r="E46" s="60"/>
      <c r="F46" s="60"/>
      <c r="G46" s="60">
        <f>F46-B46</f>
        <v>0</v>
      </c>
    </row>
    <row r="47" spans="1:8" x14ac:dyDescent="0.25">
      <c r="A47" s="69" t="s">
        <v>250</v>
      </c>
      <c r="B47" s="60"/>
      <c r="C47" s="60"/>
      <c r="D47" s="60">
        <v>0</v>
      </c>
      <c r="E47" s="60"/>
      <c r="F47" s="60"/>
      <c r="G47" s="60">
        <f t="shared" ref="G47:G53" si="9">F47-B47</f>
        <v>0</v>
      </c>
    </row>
    <row r="48" spans="1:8" x14ac:dyDescent="0.25">
      <c r="A48" s="69" t="s">
        <v>251</v>
      </c>
      <c r="B48" s="60">
        <v>129751561.39</v>
      </c>
      <c r="C48" s="60">
        <v>-526504.39</v>
      </c>
      <c r="D48" s="60">
        <v>129225057</v>
      </c>
      <c r="E48" s="60">
        <v>38674532.68</v>
      </c>
      <c r="F48" s="60">
        <v>38674532.68</v>
      </c>
      <c r="G48" s="60">
        <f t="shared" si="9"/>
        <v>-91077028.710000008</v>
      </c>
    </row>
    <row r="49" spans="1:7" ht="30" x14ac:dyDescent="0.25">
      <c r="A49" s="69" t="s">
        <v>252</v>
      </c>
      <c r="B49" s="60">
        <v>78736969.459999993</v>
      </c>
      <c r="C49" s="60">
        <v>-836664.46</v>
      </c>
      <c r="D49" s="60">
        <v>77900305</v>
      </c>
      <c r="E49" s="60">
        <v>19475735.399999999</v>
      </c>
      <c r="F49" s="60">
        <v>19475735.399999999</v>
      </c>
      <c r="G49" s="60">
        <f t="shared" si="9"/>
        <v>-59261234.059999995</v>
      </c>
    </row>
    <row r="50" spans="1:7" x14ac:dyDescent="0.25">
      <c r="A50" s="69" t="s">
        <v>253</v>
      </c>
      <c r="B50" s="60"/>
      <c r="C50" s="60"/>
      <c r="D50" s="60">
        <v>0</v>
      </c>
      <c r="E50" s="60"/>
      <c r="F50" s="60"/>
      <c r="G50" s="60">
        <f t="shared" si="9"/>
        <v>0</v>
      </c>
    </row>
    <row r="51" spans="1:7" x14ac:dyDescent="0.25">
      <c r="A51" s="69" t="s">
        <v>254</v>
      </c>
      <c r="B51" s="60"/>
      <c r="C51" s="60"/>
      <c r="D51" s="60">
        <v>0</v>
      </c>
      <c r="E51" s="60"/>
      <c r="F51" s="60"/>
      <c r="G51" s="60">
        <f t="shared" si="9"/>
        <v>0</v>
      </c>
    </row>
    <row r="52" spans="1:7" x14ac:dyDescent="0.25">
      <c r="A52" s="48" t="s">
        <v>255</v>
      </c>
      <c r="B52" s="60"/>
      <c r="C52" s="60"/>
      <c r="D52" s="60">
        <v>0</v>
      </c>
      <c r="E52" s="60"/>
      <c r="F52" s="60"/>
      <c r="G52" s="60">
        <f t="shared" si="9"/>
        <v>0</v>
      </c>
    </row>
    <row r="53" spans="1:7" x14ac:dyDescent="0.25">
      <c r="A53" s="63" t="s">
        <v>256</v>
      </c>
      <c r="B53" s="60"/>
      <c r="C53" s="60"/>
      <c r="D53" s="60">
        <v>0</v>
      </c>
      <c r="E53" s="60"/>
      <c r="F53" s="60"/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15574250.15</v>
      </c>
      <c r="D54" s="60">
        <f t="shared" si="10"/>
        <v>15574250.15</v>
      </c>
      <c r="E54" s="60">
        <f t="shared" si="10"/>
        <v>11501787.460000001</v>
      </c>
      <c r="F54" s="60">
        <f t="shared" si="10"/>
        <v>11501910.140000001</v>
      </c>
      <c r="G54" s="60">
        <f t="shared" si="10"/>
        <v>11501910.140000001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>
        <f>F55-B55</f>
        <v>0</v>
      </c>
    </row>
    <row r="56" spans="1:7" x14ac:dyDescent="0.25">
      <c r="A56" s="69" t="s">
        <v>259</v>
      </c>
      <c r="B56" s="60"/>
      <c r="C56" s="60"/>
      <c r="D56" s="60"/>
      <c r="E56" s="60"/>
      <c r="F56" s="60"/>
      <c r="G56" s="60">
        <f t="shared" ref="G56:G58" si="11">F56-B56</f>
        <v>0</v>
      </c>
    </row>
    <row r="57" spans="1:7" x14ac:dyDescent="0.25">
      <c r="A57" s="69" t="s">
        <v>260</v>
      </c>
      <c r="B57" s="60"/>
      <c r="C57" s="60"/>
      <c r="D57" s="60"/>
      <c r="E57" s="60"/>
      <c r="F57" s="60"/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15574250.15</v>
      </c>
      <c r="D58" s="60">
        <v>15574250.15</v>
      </c>
      <c r="E58" s="60">
        <v>11501787.460000001</v>
      </c>
      <c r="F58" s="60">
        <v>11501910.140000001</v>
      </c>
      <c r="G58" s="60">
        <f t="shared" si="11"/>
        <v>11501910.140000001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208488530.84999999</v>
      </c>
      <c r="C65" s="61">
        <f t="shared" ref="C65:G65" si="13">C45+C54+C59+C62+C63</f>
        <v>14211081.300000001</v>
      </c>
      <c r="D65" s="61">
        <f t="shared" si="13"/>
        <v>222699612.15000001</v>
      </c>
      <c r="E65" s="61">
        <f t="shared" si="13"/>
        <v>69652055.539999992</v>
      </c>
      <c r="F65" s="61">
        <f t="shared" si="13"/>
        <v>69652178.219999999</v>
      </c>
      <c r="G65" s="61">
        <f t="shared" si="13"/>
        <v>-138836352.63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50000000</v>
      </c>
      <c r="C67" s="61">
        <f t="shared" ref="C67:G67" si="14">C68</f>
        <v>35351047.359999999</v>
      </c>
      <c r="D67" s="61">
        <f t="shared" si="14"/>
        <v>85351047.359999999</v>
      </c>
      <c r="E67" s="61">
        <f t="shared" si="14"/>
        <v>85351047.359999999</v>
      </c>
      <c r="F67" s="61">
        <f t="shared" si="14"/>
        <v>85351047.359999999</v>
      </c>
      <c r="G67" s="61">
        <f t="shared" si="14"/>
        <v>35351047.359999999</v>
      </c>
    </row>
    <row r="68" spans="1:7" x14ac:dyDescent="0.25">
      <c r="A68" s="53" t="s">
        <v>269</v>
      </c>
      <c r="B68" s="60">
        <f>+B73+B74</f>
        <v>50000000</v>
      </c>
      <c r="C68" s="60">
        <f t="shared" ref="C68:F68" si="15">+C73+C74</f>
        <v>35351047.359999999</v>
      </c>
      <c r="D68" s="60">
        <f t="shared" si="15"/>
        <v>85351047.359999999</v>
      </c>
      <c r="E68" s="60">
        <f t="shared" si="15"/>
        <v>85351047.359999999</v>
      </c>
      <c r="F68" s="60">
        <f t="shared" si="15"/>
        <v>85351047.359999999</v>
      </c>
      <c r="G68" s="60">
        <f>F68-B68</f>
        <v>35351047.359999999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409525339.17999995</v>
      </c>
      <c r="C70" s="61">
        <f t="shared" ref="C70:G70" si="16">C41+C65+C67</f>
        <v>51174083.200000003</v>
      </c>
      <c r="D70" s="61">
        <f t="shared" si="16"/>
        <v>460699422.38</v>
      </c>
      <c r="E70" s="61">
        <f t="shared" si="16"/>
        <v>208863967.39999998</v>
      </c>
      <c r="F70" s="61">
        <f t="shared" si="16"/>
        <v>208864089.24000001</v>
      </c>
      <c r="G70" s="61">
        <f t="shared" si="16"/>
        <v>-200661249.94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14500000</v>
      </c>
      <c r="C73" s="60">
        <v>32303436.079999998</v>
      </c>
      <c r="D73" s="60">
        <v>46803436.079999998</v>
      </c>
      <c r="E73" s="60">
        <v>46803436.079999998</v>
      </c>
      <c r="F73" s="60">
        <v>46803436.079999998</v>
      </c>
      <c r="G73" s="60">
        <f>F73-B73</f>
        <v>32303436.079999998</v>
      </c>
    </row>
    <row r="74" spans="1:7" ht="30" x14ac:dyDescent="0.25">
      <c r="A74" s="130" t="s">
        <v>273</v>
      </c>
      <c r="B74" s="60">
        <v>35500000</v>
      </c>
      <c r="C74" s="60">
        <v>3047611.28</v>
      </c>
      <c r="D74" s="60">
        <v>38547611.280000001</v>
      </c>
      <c r="E74" s="60">
        <v>38547611.280000001</v>
      </c>
      <c r="F74" s="60">
        <v>38547611.280000001</v>
      </c>
      <c r="G74" s="60">
        <f>F74-B74</f>
        <v>3047611.2800000012</v>
      </c>
    </row>
    <row r="75" spans="1:7" x14ac:dyDescent="0.25">
      <c r="A75" s="120" t="s">
        <v>274</v>
      </c>
      <c r="B75" s="61">
        <f>B73+B74</f>
        <v>50000000</v>
      </c>
      <c r="C75" s="61">
        <f t="shared" ref="C75:G75" si="17">C73+C74</f>
        <v>35351047.359999999</v>
      </c>
      <c r="D75" s="61">
        <f t="shared" si="17"/>
        <v>85351047.359999999</v>
      </c>
      <c r="E75" s="61">
        <f t="shared" si="17"/>
        <v>85351047.359999999</v>
      </c>
      <c r="F75" s="61">
        <f t="shared" si="17"/>
        <v>85351047.359999999</v>
      </c>
      <c r="G75" s="61">
        <f t="shared" si="17"/>
        <v>35351047.359999999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19587424.489999998</v>
      </c>
      <c r="Q3" s="18">
        <f>'Formato 5'!C9</f>
        <v>1578321.12</v>
      </c>
      <c r="R3" s="18">
        <f>'Formato 5'!D9</f>
        <v>21165745.609999999</v>
      </c>
      <c r="S3" s="18">
        <f>'Formato 5'!E9</f>
        <v>17727869.390000001</v>
      </c>
      <c r="T3" s="18">
        <f>'Formato 5'!F9</f>
        <v>17727869.390000001</v>
      </c>
      <c r="U3" s="18">
        <f>'Formato 5'!G9</f>
        <v>-1859555.0999999978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4384837.59</v>
      </c>
      <c r="Q6" s="18">
        <f>'Formato 5'!C12</f>
        <v>1018955.66</v>
      </c>
      <c r="R6" s="18">
        <f>'Formato 5'!D12</f>
        <v>5403793.25</v>
      </c>
      <c r="S6" s="18">
        <f>'Formato 5'!E12</f>
        <v>1815307.82</v>
      </c>
      <c r="T6" s="18">
        <f>'Formato 5'!F12</f>
        <v>1815307.82</v>
      </c>
      <c r="U6" s="18">
        <f>'Formato 5'!G12</f>
        <v>-2569529.7699999996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5750600</v>
      </c>
      <c r="Q7" s="18">
        <f>'Formato 5'!C13</f>
        <v>-2082459.73</v>
      </c>
      <c r="R7" s="18">
        <f>'Formato 5'!D13</f>
        <v>3668140.27</v>
      </c>
      <c r="S7" s="18">
        <f>'Formato 5'!E13</f>
        <v>885950.9</v>
      </c>
      <c r="T7" s="18">
        <f>'Formato 5'!F13</f>
        <v>885950.06</v>
      </c>
      <c r="U7" s="18">
        <f>'Formato 5'!G13</f>
        <v>-4864649.9399999995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1927280.89</v>
      </c>
      <c r="Q8" s="18">
        <f>'Formato 5'!C14</f>
        <v>-254740.12</v>
      </c>
      <c r="R8" s="18">
        <f>'Formato 5'!D14</f>
        <v>1672540.77</v>
      </c>
      <c r="S8" s="18">
        <f>'Formato 5'!E14</f>
        <v>439504.47</v>
      </c>
      <c r="T8" s="18">
        <f>'Formato 5'!F14</f>
        <v>439504.47</v>
      </c>
      <c r="U8" s="18">
        <f>'Formato 5'!G14</f>
        <v>-1487776.42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117718799.59999999</v>
      </c>
      <c r="Q10" s="18">
        <f>'Formato 5'!C16</f>
        <v>5729930.8100000005</v>
      </c>
      <c r="R10" s="18">
        <f>'Formato 5'!D16</f>
        <v>123448730.41</v>
      </c>
      <c r="S10" s="18">
        <f>'Formato 5'!E16</f>
        <v>31512882.75</v>
      </c>
      <c r="T10" s="18">
        <f>'Formato 5'!F16</f>
        <v>31512882.75</v>
      </c>
      <c r="U10" s="18">
        <f>'Formato 5'!G16</f>
        <v>-86205916.850000009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74374362.629999995</v>
      </c>
      <c r="Q11" s="18">
        <f>'Formato 5'!C17</f>
        <v>6562729.3700000001</v>
      </c>
      <c r="R11" s="18">
        <f>'Formato 5'!D17</f>
        <v>80937092</v>
      </c>
      <c r="S11" s="18">
        <f>'Formato 5'!E17</f>
        <v>21093979.27</v>
      </c>
      <c r="T11" s="18">
        <f>'Formato 5'!F17</f>
        <v>21093979.27</v>
      </c>
      <c r="U11" s="18">
        <f>'Formato 5'!G17</f>
        <v>-53280383.359999999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25323010</v>
      </c>
      <c r="Q12" s="18">
        <f>'Formato 5'!C18</f>
        <v>-503022</v>
      </c>
      <c r="R12" s="18">
        <f>'Formato 5'!D18</f>
        <v>24819988</v>
      </c>
      <c r="S12" s="18">
        <f>'Formato 5'!E18</f>
        <v>6536857.46</v>
      </c>
      <c r="T12" s="18">
        <f>'Formato 5'!F18</f>
        <v>6536857.46</v>
      </c>
      <c r="U12" s="18">
        <f>'Formato 5'!G18</f>
        <v>-18786152.539999999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4901425</v>
      </c>
      <c r="Q13" s="18">
        <f>'Formato 5'!C19</f>
        <v>-383212</v>
      </c>
      <c r="R13" s="18">
        <f>'Formato 5'!D19</f>
        <v>4518213</v>
      </c>
      <c r="S13" s="18">
        <f>'Formato 5'!E19</f>
        <v>978312.77</v>
      </c>
      <c r="T13" s="18">
        <f>'Formato 5'!F19</f>
        <v>978312.77</v>
      </c>
      <c r="U13" s="18">
        <f>'Formato 5'!G19</f>
        <v>-3923112.23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3374751</v>
      </c>
      <c r="Q16" s="18">
        <f>'Formato 5'!C22</f>
        <v>-800949</v>
      </c>
      <c r="R16" s="18">
        <f>'Formato 5'!D22</f>
        <v>2573802</v>
      </c>
      <c r="S16" s="18">
        <f>'Formato 5'!E22</f>
        <v>939677.85</v>
      </c>
      <c r="T16" s="18">
        <f>'Formato 5'!F22</f>
        <v>939677.85</v>
      </c>
      <c r="U16" s="18">
        <f>'Formato 5'!G22</f>
        <v>-2435073.15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3267888</v>
      </c>
      <c r="Q19" s="18">
        <f>'Formato 5'!C25</f>
        <v>-620975</v>
      </c>
      <c r="R19" s="18">
        <f>'Formato 5'!D25</f>
        <v>2646913</v>
      </c>
      <c r="S19" s="18">
        <f>'Formato 5'!E25</f>
        <v>331970.40000000002</v>
      </c>
      <c r="T19" s="18">
        <f>'Formato 5'!F25</f>
        <v>331970.40000000002</v>
      </c>
      <c r="U19" s="18">
        <f>'Formato 5'!G25</f>
        <v>-2935917.6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6477362.9699999997</v>
      </c>
      <c r="Q20" s="18">
        <f>'Formato 5'!C26</f>
        <v>1475359.44</v>
      </c>
      <c r="R20" s="18">
        <f>'Formato 5'!D26</f>
        <v>7952722.4100000001</v>
      </c>
      <c r="S20" s="18">
        <f>'Formato 5'!E26</f>
        <v>1632085</v>
      </c>
      <c r="T20" s="18">
        <f>'Formato 5'!F26</f>
        <v>1632085</v>
      </c>
      <c r="U20" s="18">
        <f>'Formato 5'!G26</f>
        <v>-4845277.97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1667865.76</v>
      </c>
      <c r="Q22" s="18">
        <f>'Formato 5'!C28</f>
        <v>-155115.76</v>
      </c>
      <c r="R22" s="18">
        <f>'Formato 5'!D28</f>
        <v>1512750</v>
      </c>
      <c r="S22" s="18">
        <f>'Formato 5'!E28</f>
        <v>635828.06999999995</v>
      </c>
      <c r="T22" s="18">
        <f>'Formato 5'!F28</f>
        <v>635828.06999999995</v>
      </c>
      <c r="U22" s="18">
        <f>'Formato 5'!G28</f>
        <v>-1032037.6900000001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-7350</v>
      </c>
      <c r="R23" s="18">
        <f>'Formato 5'!D29</f>
        <v>0</v>
      </c>
      <c r="S23" s="18">
        <f>'Formato 5'!E29</f>
        <v>7778.83</v>
      </c>
      <c r="T23" s="18">
        <f>'Formato 5'!F29</f>
        <v>7778.83</v>
      </c>
      <c r="U23" s="18">
        <f>'Formato 5'!G29</f>
        <v>428.82999999999993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238061</v>
      </c>
      <c r="Q24" s="18">
        <f>'Formato 5'!C30</f>
        <v>13758</v>
      </c>
      <c r="R24" s="18">
        <f>'Formato 5'!D30</f>
        <v>251819</v>
      </c>
      <c r="S24" s="18">
        <f>'Formato 5'!E30</f>
        <v>166584.25</v>
      </c>
      <c r="T24" s="18">
        <f>'Formato 5'!F30</f>
        <v>166584.25</v>
      </c>
      <c r="U24" s="18">
        <f>'Formato 5'!G30</f>
        <v>-71476.75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1146354</v>
      </c>
      <c r="Q25" s="18">
        <f>'Formato 5'!C31</f>
        <v>-309668</v>
      </c>
      <c r="R25" s="18">
        <f>'Formato 5'!D31</f>
        <v>836686</v>
      </c>
      <c r="S25" s="18">
        <f>'Formato 5'!E31</f>
        <v>230195.84</v>
      </c>
      <c r="T25" s="18">
        <f>'Formato 5'!F31</f>
        <v>230195.84</v>
      </c>
      <c r="U25" s="18">
        <f>'Formato 5'!G31</f>
        <v>-916158.16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276100.76</v>
      </c>
      <c r="Q27" s="18">
        <f>'Formato 5'!C33</f>
        <v>148144.24</v>
      </c>
      <c r="R27" s="18">
        <f>'Formato 5'!D33</f>
        <v>424245</v>
      </c>
      <c r="S27" s="18">
        <f>'Formato 5'!E33</f>
        <v>231269.15</v>
      </c>
      <c r="T27" s="18">
        <f>'Formato 5'!F33</f>
        <v>231269.15</v>
      </c>
      <c r="U27" s="18">
        <f>'Formato 5'!G33</f>
        <v>-44831.610000000015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-4222937.4400000004</v>
      </c>
      <c r="R29" s="18">
        <f>'Formato 5'!D35</f>
        <v>-4222937.4400000004</v>
      </c>
      <c r="S29" s="18">
        <f>'Formato 5'!E35</f>
        <v>843521.1</v>
      </c>
      <c r="T29" s="18">
        <f>'Formato 5'!F35</f>
        <v>843521.1</v>
      </c>
      <c r="U29" s="18">
        <f>'Formato 5'!G35</f>
        <v>843521.1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-4222937.4400000004</v>
      </c>
      <c r="R30" s="18">
        <f>'Formato 5'!D36</f>
        <v>-4222937.4400000004</v>
      </c>
      <c r="S30" s="18">
        <f>'Formato 5'!E36</f>
        <v>843521.1</v>
      </c>
      <c r="T30" s="18">
        <f>'Formato 5'!F36</f>
        <v>843521.1</v>
      </c>
      <c r="U30" s="18">
        <f>'Formato 5'!G36</f>
        <v>843521.1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151036808.32999998</v>
      </c>
      <c r="Q34">
        <f>'Formato 5'!C41</f>
        <v>1611954.540000001</v>
      </c>
      <c r="R34">
        <f>'Formato 5'!D41</f>
        <v>152648762.87</v>
      </c>
      <c r="S34">
        <f>'Formato 5'!E41</f>
        <v>53860864.5</v>
      </c>
      <c r="T34">
        <f>'Formato 5'!F41</f>
        <v>53860863.659999996</v>
      </c>
      <c r="U34">
        <f>'Formato 5'!G41</f>
        <v>-97175944.670000017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208488530.84999999</v>
      </c>
      <c r="Q37">
        <f>'Formato 5'!C45</f>
        <v>-1363168.85</v>
      </c>
      <c r="R37">
        <f>'Formato 5'!D45</f>
        <v>207125362</v>
      </c>
      <c r="S37">
        <f>'Formato 5'!E45</f>
        <v>58150268.079999998</v>
      </c>
      <c r="T37">
        <f>'Formato 5'!F45</f>
        <v>58150268.079999998</v>
      </c>
      <c r="U37">
        <f>'Formato 5'!G45</f>
        <v>-150338262.77000001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129751561.39</v>
      </c>
      <c r="Q40">
        <f>'Formato 5'!C48</f>
        <v>-526504.39</v>
      </c>
      <c r="R40">
        <f>'Formato 5'!D48</f>
        <v>129225057</v>
      </c>
      <c r="S40">
        <f>'Formato 5'!E48</f>
        <v>38674532.68</v>
      </c>
      <c r="T40">
        <f>'Formato 5'!F48</f>
        <v>38674532.68</v>
      </c>
      <c r="U40">
        <f>'Formato 5'!G48</f>
        <v>-91077028.710000008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78736969.459999993</v>
      </c>
      <c r="Q41">
        <f>'Formato 5'!C49</f>
        <v>-836664.46</v>
      </c>
      <c r="R41">
        <f>'Formato 5'!D49</f>
        <v>77900305</v>
      </c>
      <c r="S41">
        <f>'Formato 5'!E49</f>
        <v>19475735.399999999</v>
      </c>
      <c r="T41">
        <f>'Formato 5'!F49</f>
        <v>19475735.399999999</v>
      </c>
      <c r="U41">
        <f>'Formato 5'!G49</f>
        <v>-59261234.059999995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15574250.15</v>
      </c>
      <c r="R46">
        <f>'Formato 5'!D54</f>
        <v>15574250.15</v>
      </c>
      <c r="S46">
        <f>'Formato 5'!E54</f>
        <v>11501787.460000001</v>
      </c>
      <c r="T46">
        <f>'Formato 5'!F54</f>
        <v>11501910.140000001</v>
      </c>
      <c r="U46">
        <f>'Formato 5'!G54</f>
        <v>11501910.140000001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15574250.15</v>
      </c>
      <c r="R50">
        <f>'Formato 5'!D58</f>
        <v>15574250.15</v>
      </c>
      <c r="S50">
        <f>'Formato 5'!E58</f>
        <v>11501787.460000001</v>
      </c>
      <c r="T50">
        <f>'Formato 5'!F58</f>
        <v>11501910.140000001</v>
      </c>
      <c r="U50">
        <f>'Formato 5'!G58</f>
        <v>11501910.140000001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208488530.84999999</v>
      </c>
      <c r="Q56">
        <f>'Formato 5'!C65</f>
        <v>14211081.300000001</v>
      </c>
      <c r="R56">
        <f>'Formato 5'!D65</f>
        <v>222699612.15000001</v>
      </c>
      <c r="S56">
        <f>'Formato 5'!E65</f>
        <v>69652055.539999992</v>
      </c>
      <c r="T56">
        <f>'Formato 5'!F65</f>
        <v>69652178.219999999</v>
      </c>
      <c r="U56">
        <f>'Formato 5'!G65</f>
        <v>-138836352.63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50000000</v>
      </c>
      <c r="Q57">
        <f>'Formato 5'!C67</f>
        <v>35351047.359999999</v>
      </c>
      <c r="R57">
        <f>'Formato 5'!D67</f>
        <v>85351047.359999999</v>
      </c>
      <c r="S57">
        <f>'Formato 5'!E67</f>
        <v>85351047.359999999</v>
      </c>
      <c r="T57">
        <f>'Formato 5'!F67</f>
        <v>85351047.359999999</v>
      </c>
      <c r="U57">
        <f>'Formato 5'!G67</f>
        <v>35351047.359999999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50000000</v>
      </c>
      <c r="Q58">
        <f>'Formato 5'!C68</f>
        <v>35351047.359999999</v>
      </c>
      <c r="R58">
        <f>'Formato 5'!D68</f>
        <v>85351047.359999999</v>
      </c>
      <c r="S58">
        <f>'Formato 5'!E68</f>
        <v>85351047.359999999</v>
      </c>
      <c r="T58">
        <f>'Formato 5'!F68</f>
        <v>85351047.359999999</v>
      </c>
      <c r="U58">
        <f>'Formato 5'!G68</f>
        <v>35351047.359999999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14500000</v>
      </c>
      <c r="Q60">
        <f>'Formato 5'!C73</f>
        <v>32303436.079999998</v>
      </c>
      <c r="R60">
        <f>'Formato 5'!D73</f>
        <v>46803436.079999998</v>
      </c>
      <c r="S60">
        <f>'Formato 5'!E73</f>
        <v>46803436.079999998</v>
      </c>
      <c r="T60">
        <f>'Formato 5'!F73</f>
        <v>46803436.079999998</v>
      </c>
      <c r="U60">
        <f>'Formato 5'!G73</f>
        <v>32303436.079999998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35500000</v>
      </c>
      <c r="Q61">
        <f>'Formato 5'!C74</f>
        <v>3047611.28</v>
      </c>
      <c r="R61">
        <f>'Formato 5'!D74</f>
        <v>38547611.280000001</v>
      </c>
      <c r="S61">
        <f>'Formato 5'!E74</f>
        <v>38547611.280000001</v>
      </c>
      <c r="T61">
        <f>'Formato 5'!F74</f>
        <v>38547611.280000001</v>
      </c>
      <c r="U61">
        <f>'Formato 5'!G74</f>
        <v>3047611.2800000012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50000000</v>
      </c>
      <c r="Q62">
        <f>'Formato 5'!C75</f>
        <v>35351047.359999999</v>
      </c>
      <c r="R62">
        <f>'Formato 5'!D75</f>
        <v>85351047.359999999</v>
      </c>
      <c r="S62">
        <f>'Formato 5'!E75</f>
        <v>85351047.359999999</v>
      </c>
      <c r="T62">
        <f>'Formato 5'!F75</f>
        <v>85351047.359999999</v>
      </c>
      <c r="U62">
        <f>'Formato 5'!G75</f>
        <v>35351047.359999999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topLeftCell="A7" zoomScale="85" zoomScaleNormal="85" zoomScalePageLayoutView="90" workbookViewId="0">
      <selection activeCell="C35" sqref="C3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30 de marzo de 2021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165536808.33000001</v>
      </c>
      <c r="C9" s="79">
        <f t="shared" ref="C9:G9" si="0">SUM(C10,C18,C28,C38,C48,C58,C62,C71,C75)</f>
        <v>42361265.5</v>
      </c>
      <c r="D9" s="79">
        <f t="shared" si="0"/>
        <v>207898073.83000001</v>
      </c>
      <c r="E9" s="79">
        <f t="shared" si="0"/>
        <v>117412.35</v>
      </c>
      <c r="F9" s="79">
        <f t="shared" si="0"/>
        <v>38187008.530000001</v>
      </c>
      <c r="G9" s="79">
        <f t="shared" si="0"/>
        <v>207780661.47999999</v>
      </c>
    </row>
    <row r="10" spans="1:7" ht="14.25" x14ac:dyDescent="0.45">
      <c r="A10" s="83" t="s">
        <v>286</v>
      </c>
      <c r="B10" s="80">
        <f t="shared" ref="B10:G10" si="1">SUM(B11:B17)</f>
        <v>122746109.00000001</v>
      </c>
      <c r="C10" s="80">
        <f t="shared" si="1"/>
        <v>0</v>
      </c>
      <c r="D10" s="80">
        <f t="shared" si="1"/>
        <v>122746109.00000001</v>
      </c>
      <c r="E10" s="80">
        <f t="shared" si="1"/>
        <v>0</v>
      </c>
      <c r="F10" s="80">
        <f t="shared" si="1"/>
        <v>24738514.57</v>
      </c>
      <c r="G10" s="80">
        <f t="shared" si="1"/>
        <v>122746109.00000001</v>
      </c>
    </row>
    <row r="11" spans="1:7" x14ac:dyDescent="0.25">
      <c r="A11" s="84" t="s">
        <v>287</v>
      </c>
      <c r="B11" s="80">
        <v>72591969.840000004</v>
      </c>
      <c r="C11" s="80">
        <v>0</v>
      </c>
      <c r="D11" s="80">
        <v>72591969.840000004</v>
      </c>
      <c r="E11" s="80">
        <v>0</v>
      </c>
      <c r="F11" s="80">
        <v>17542781.899999999</v>
      </c>
      <c r="G11" s="80">
        <f>D11-E11</f>
        <v>72591969.840000004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10695917.220000001</v>
      </c>
      <c r="C13" s="80">
        <v>0</v>
      </c>
      <c r="D13" s="80">
        <v>10695917.220000001</v>
      </c>
      <c r="E13" s="80">
        <v>0</v>
      </c>
      <c r="F13" s="80">
        <v>2103.9</v>
      </c>
      <c r="G13" s="80">
        <f t="shared" ref="G13:G15" si="2">D13-E13</f>
        <v>10695917.220000001</v>
      </c>
    </row>
    <row r="14" spans="1:7" x14ac:dyDescent="0.25">
      <c r="A14" s="84" t="s">
        <v>290</v>
      </c>
      <c r="B14" s="80">
        <v>23201500.809999999</v>
      </c>
      <c r="C14" s="80">
        <v>0</v>
      </c>
      <c r="D14" s="80">
        <v>23201500.809999999</v>
      </c>
      <c r="E14" s="80">
        <v>0</v>
      </c>
      <c r="F14" s="80">
        <v>3141615.91</v>
      </c>
      <c r="G14" s="80">
        <f t="shared" si="2"/>
        <v>23201500.809999999</v>
      </c>
    </row>
    <row r="15" spans="1:7" x14ac:dyDescent="0.25">
      <c r="A15" s="84" t="s">
        <v>291</v>
      </c>
      <c r="B15" s="80">
        <v>12799284.01</v>
      </c>
      <c r="C15" s="80">
        <v>0</v>
      </c>
      <c r="D15" s="80">
        <v>12799284.01</v>
      </c>
      <c r="E15" s="80">
        <v>0</v>
      </c>
      <c r="F15" s="80">
        <v>3202580.51</v>
      </c>
      <c r="G15" s="80">
        <f t="shared" si="2"/>
        <v>12799284.01</v>
      </c>
    </row>
    <row r="16" spans="1:7" x14ac:dyDescent="0.25">
      <c r="A16" s="84" t="s">
        <v>292</v>
      </c>
      <c r="B16" s="80"/>
      <c r="C16" s="80"/>
      <c r="D16" s="80"/>
      <c r="E16" s="80"/>
      <c r="F16" s="80"/>
      <c r="G16" s="80">
        <f>D16-E16</f>
        <v>0</v>
      </c>
    </row>
    <row r="17" spans="1:7" x14ac:dyDescent="0.25">
      <c r="A17" s="84" t="s">
        <v>293</v>
      </c>
      <c r="B17" s="80">
        <v>3457437.12</v>
      </c>
      <c r="C17" s="80">
        <v>0</v>
      </c>
      <c r="D17" s="80">
        <v>3457437.12</v>
      </c>
      <c r="E17" s="80">
        <v>0</v>
      </c>
      <c r="F17" s="80">
        <v>849432.35</v>
      </c>
      <c r="G17" s="80">
        <f>D17-E17</f>
        <v>3457437.12</v>
      </c>
    </row>
    <row r="18" spans="1:7" ht="14.25" x14ac:dyDescent="0.45">
      <c r="A18" s="83" t="s">
        <v>294</v>
      </c>
      <c r="B18" s="80">
        <f>SUM(B19:B27)</f>
        <v>4987200.9399999995</v>
      </c>
      <c r="C18" s="80">
        <f t="shared" ref="C18:F18" si="3">SUM(C19:C27)</f>
        <v>2470391.7400000002</v>
      </c>
      <c r="D18" s="80">
        <f t="shared" si="3"/>
        <v>7457592.6799999988</v>
      </c>
      <c r="E18" s="80">
        <f t="shared" si="3"/>
        <v>35823.07</v>
      </c>
      <c r="F18" s="80">
        <f t="shared" si="3"/>
        <v>569549.77</v>
      </c>
      <c r="G18" s="80">
        <f>SUM(G19:G27)</f>
        <v>7421769.6099999994</v>
      </c>
    </row>
    <row r="19" spans="1:7" x14ac:dyDescent="0.25">
      <c r="A19" s="84" t="s">
        <v>295</v>
      </c>
      <c r="B19" s="80">
        <v>1900459.51</v>
      </c>
      <c r="C19" s="80">
        <v>393658.37</v>
      </c>
      <c r="D19" s="80">
        <v>2294117.88</v>
      </c>
      <c r="E19" s="80">
        <v>7679.7</v>
      </c>
      <c r="F19" s="80">
        <v>132286.54</v>
      </c>
      <c r="G19" s="80">
        <f>D19-E19</f>
        <v>2286438.1799999997</v>
      </c>
    </row>
    <row r="20" spans="1:7" x14ac:dyDescent="0.25">
      <c r="A20" s="84" t="s">
        <v>296</v>
      </c>
      <c r="B20" s="80">
        <v>250627.51</v>
      </c>
      <c r="C20" s="80">
        <v>-11450</v>
      </c>
      <c r="D20" s="80">
        <v>239177.51</v>
      </c>
      <c r="E20" s="80">
        <v>0</v>
      </c>
      <c r="F20" s="80">
        <v>17948.490000000002</v>
      </c>
      <c r="G20" s="80">
        <f t="shared" ref="G20:G27" si="4">D20-E20</f>
        <v>239177.51</v>
      </c>
    </row>
    <row r="21" spans="1:7" x14ac:dyDescent="0.25">
      <c r="A21" s="84" t="s">
        <v>297</v>
      </c>
      <c r="B21" s="80">
        <v>35000</v>
      </c>
      <c r="C21" s="80">
        <v>0</v>
      </c>
      <c r="D21" s="80">
        <v>35000</v>
      </c>
      <c r="E21" s="80">
        <v>0</v>
      </c>
      <c r="F21" s="80">
        <v>0</v>
      </c>
      <c r="G21" s="80">
        <f t="shared" si="4"/>
        <v>35000</v>
      </c>
    </row>
    <row r="22" spans="1:7" x14ac:dyDescent="0.25">
      <c r="A22" s="84" t="s">
        <v>298</v>
      </c>
      <c r="B22" s="80">
        <v>249582.49</v>
      </c>
      <c r="C22" s="80">
        <v>2040587.48</v>
      </c>
      <c r="D22" s="80">
        <v>2290169.9700000002</v>
      </c>
      <c r="E22" s="80">
        <v>133.99</v>
      </c>
      <c r="F22" s="80">
        <v>24278.04</v>
      </c>
      <c r="G22" s="80">
        <f t="shared" si="4"/>
        <v>2290035.98</v>
      </c>
    </row>
    <row r="23" spans="1:7" x14ac:dyDescent="0.25">
      <c r="A23" s="84" t="s">
        <v>299</v>
      </c>
      <c r="B23" s="80">
        <v>499234.03</v>
      </c>
      <c r="C23" s="80">
        <v>8912.52</v>
      </c>
      <c r="D23" s="80">
        <v>508146.55</v>
      </c>
      <c r="E23" s="80">
        <v>0</v>
      </c>
      <c r="F23" s="80">
        <v>15959.47</v>
      </c>
      <c r="G23" s="80">
        <f t="shared" si="4"/>
        <v>508146.55</v>
      </c>
    </row>
    <row r="24" spans="1:7" x14ac:dyDescent="0.25">
      <c r="A24" s="84" t="s">
        <v>300</v>
      </c>
      <c r="B24" s="80">
        <v>1520210.53</v>
      </c>
      <c r="C24" s="80">
        <v>-5300</v>
      </c>
      <c r="D24" s="80">
        <v>1514910.53</v>
      </c>
      <c r="E24" s="80">
        <v>23538.38</v>
      </c>
      <c r="F24" s="80">
        <v>322234.09000000003</v>
      </c>
      <c r="G24" s="80">
        <f t="shared" si="4"/>
        <v>1491372.1500000001</v>
      </c>
    </row>
    <row r="25" spans="1:7" x14ac:dyDescent="0.25">
      <c r="A25" s="84" t="s">
        <v>301</v>
      </c>
      <c r="B25" s="80">
        <v>145145.39000000001</v>
      </c>
      <c r="C25" s="80">
        <v>30000</v>
      </c>
      <c r="D25" s="80">
        <v>175145.39</v>
      </c>
      <c r="E25" s="80">
        <v>0</v>
      </c>
      <c r="F25" s="80">
        <v>1752.98</v>
      </c>
      <c r="G25" s="80">
        <f t="shared" si="4"/>
        <v>175145.39</v>
      </c>
    </row>
    <row r="26" spans="1:7" x14ac:dyDescent="0.25">
      <c r="A26" s="84" t="s">
        <v>302</v>
      </c>
      <c r="B26" s="80"/>
      <c r="C26" s="80"/>
      <c r="D26" s="80"/>
      <c r="E26" s="80"/>
      <c r="F26" s="80"/>
      <c r="G26" s="80">
        <f t="shared" si="4"/>
        <v>0</v>
      </c>
    </row>
    <row r="27" spans="1:7" ht="14.25" x14ac:dyDescent="0.45">
      <c r="A27" s="84" t="s">
        <v>303</v>
      </c>
      <c r="B27" s="80">
        <v>386941.48</v>
      </c>
      <c r="C27" s="80">
        <v>13983.369999999999</v>
      </c>
      <c r="D27" s="80">
        <v>400924.85</v>
      </c>
      <c r="E27" s="80">
        <v>4471</v>
      </c>
      <c r="F27" s="80">
        <v>55090.16</v>
      </c>
      <c r="G27" s="80">
        <f t="shared" si="4"/>
        <v>396453.85</v>
      </c>
    </row>
    <row r="28" spans="1:7" ht="14.25" x14ac:dyDescent="0.45">
      <c r="A28" s="83" t="s">
        <v>304</v>
      </c>
      <c r="B28" s="80">
        <f>SUM(B29:B37)</f>
        <v>22319094.579999998</v>
      </c>
      <c r="C28" s="80">
        <f t="shared" ref="C28:G28" si="5">SUM(C29:C37)</f>
        <v>-817964.95000000019</v>
      </c>
      <c r="D28" s="80">
        <f t="shared" si="5"/>
        <v>21501129.629999999</v>
      </c>
      <c r="E28" s="80">
        <f t="shared" si="5"/>
        <v>6902.71</v>
      </c>
      <c r="F28" s="80">
        <f t="shared" si="5"/>
        <v>713753.02</v>
      </c>
      <c r="G28" s="80">
        <f t="shared" si="5"/>
        <v>21494226.919999998</v>
      </c>
    </row>
    <row r="29" spans="1:7" x14ac:dyDescent="0.25">
      <c r="A29" s="84" t="s">
        <v>305</v>
      </c>
      <c r="B29" s="80">
        <v>225429</v>
      </c>
      <c r="C29" s="80">
        <v>25000</v>
      </c>
      <c r="D29" s="80">
        <v>250429</v>
      </c>
      <c r="E29" s="80">
        <v>0</v>
      </c>
      <c r="F29" s="80">
        <v>27985.93</v>
      </c>
      <c r="G29" s="80">
        <f>D29-E29</f>
        <v>250429</v>
      </c>
    </row>
    <row r="30" spans="1:7" x14ac:dyDescent="0.25">
      <c r="A30" s="84" t="s">
        <v>306</v>
      </c>
      <c r="B30" s="80">
        <v>1636189.36</v>
      </c>
      <c r="C30" s="80">
        <v>246000</v>
      </c>
      <c r="D30" s="80">
        <v>1882189.36</v>
      </c>
      <c r="E30" s="80">
        <v>0</v>
      </c>
      <c r="F30" s="80">
        <v>71122.350000000006</v>
      </c>
      <c r="G30" s="80">
        <f t="shared" ref="G30:G37" si="6">D30-E30</f>
        <v>1882189.36</v>
      </c>
    </row>
    <row r="31" spans="1:7" x14ac:dyDescent="0.25">
      <c r="A31" s="84" t="s">
        <v>307</v>
      </c>
      <c r="B31" s="80">
        <v>4512904.68</v>
      </c>
      <c r="C31" s="80">
        <v>230940</v>
      </c>
      <c r="D31" s="80">
        <v>4743844.68</v>
      </c>
      <c r="E31" s="80">
        <v>6485.71</v>
      </c>
      <c r="F31" s="80">
        <v>201808.24</v>
      </c>
      <c r="G31" s="80">
        <f t="shared" si="6"/>
        <v>4737358.97</v>
      </c>
    </row>
    <row r="32" spans="1:7" x14ac:dyDescent="0.25">
      <c r="A32" s="84" t="s">
        <v>308</v>
      </c>
      <c r="B32" s="80">
        <v>469100</v>
      </c>
      <c r="C32" s="80">
        <v>-8000</v>
      </c>
      <c r="D32" s="80">
        <v>461100</v>
      </c>
      <c r="E32" s="80">
        <v>0</v>
      </c>
      <c r="F32" s="80">
        <v>38108.519999999997</v>
      </c>
      <c r="G32" s="80">
        <f t="shared" si="6"/>
        <v>461100</v>
      </c>
    </row>
    <row r="33" spans="1:7" x14ac:dyDescent="0.25">
      <c r="A33" s="84" t="s">
        <v>309</v>
      </c>
      <c r="B33" s="80">
        <v>298638.06</v>
      </c>
      <c r="C33" s="80">
        <v>13000</v>
      </c>
      <c r="D33" s="80">
        <v>311638.06</v>
      </c>
      <c r="E33" s="80">
        <v>0</v>
      </c>
      <c r="F33" s="80">
        <v>28309.53</v>
      </c>
      <c r="G33" s="80">
        <f t="shared" si="6"/>
        <v>311638.06</v>
      </c>
    </row>
    <row r="34" spans="1:7" x14ac:dyDescent="0.25">
      <c r="A34" s="84" t="s">
        <v>310</v>
      </c>
      <c r="B34" s="80">
        <v>591072.09</v>
      </c>
      <c r="C34" s="80">
        <v>0</v>
      </c>
      <c r="D34" s="80">
        <v>591072.09</v>
      </c>
      <c r="E34" s="80">
        <v>0</v>
      </c>
      <c r="F34" s="80">
        <v>2340</v>
      </c>
      <c r="G34" s="80">
        <f t="shared" si="6"/>
        <v>591072.09</v>
      </c>
    </row>
    <row r="35" spans="1:7" x14ac:dyDescent="0.25">
      <c r="A35" s="84" t="s">
        <v>311</v>
      </c>
      <c r="B35" s="80">
        <v>158507.32</v>
      </c>
      <c r="C35" s="80">
        <v>0</v>
      </c>
      <c r="D35" s="80">
        <v>158507.32</v>
      </c>
      <c r="E35" s="80">
        <v>417</v>
      </c>
      <c r="F35" s="80">
        <v>3631.94</v>
      </c>
      <c r="G35" s="80">
        <f t="shared" si="6"/>
        <v>158090.32</v>
      </c>
    </row>
    <row r="36" spans="1:7" x14ac:dyDescent="0.25">
      <c r="A36" s="84" t="s">
        <v>312</v>
      </c>
      <c r="B36" s="80">
        <v>5202007.47</v>
      </c>
      <c r="C36" s="80">
        <v>-3738095.45</v>
      </c>
      <c r="D36" s="80">
        <v>1463912.02</v>
      </c>
      <c r="E36" s="80">
        <v>0</v>
      </c>
      <c r="F36" s="80">
        <v>13793.73</v>
      </c>
      <c r="G36" s="80">
        <f t="shared" si="6"/>
        <v>1463912.02</v>
      </c>
    </row>
    <row r="37" spans="1:7" x14ac:dyDescent="0.25">
      <c r="A37" s="84" t="s">
        <v>313</v>
      </c>
      <c r="B37" s="80">
        <v>9225246.5999999996</v>
      </c>
      <c r="C37" s="80">
        <v>2413190.5</v>
      </c>
      <c r="D37" s="80">
        <v>11638437.1</v>
      </c>
      <c r="E37" s="80">
        <v>0</v>
      </c>
      <c r="F37" s="80">
        <v>326652.78000000003</v>
      </c>
      <c r="G37" s="80">
        <f t="shared" si="6"/>
        <v>11638437.1</v>
      </c>
    </row>
    <row r="38" spans="1:7" x14ac:dyDescent="0.25">
      <c r="A38" s="83" t="s">
        <v>314</v>
      </c>
      <c r="B38" s="80">
        <f>SUM(B39:B47)</f>
        <v>14593656.739999998</v>
      </c>
      <c r="C38" s="80">
        <f t="shared" ref="C38:G38" si="7">SUM(C39:C47)</f>
        <v>-20000</v>
      </c>
      <c r="D38" s="80">
        <f t="shared" si="7"/>
        <v>14573656.739999998</v>
      </c>
      <c r="E38" s="80">
        <f t="shared" si="7"/>
        <v>74686.570000000007</v>
      </c>
      <c r="F38" s="80">
        <f t="shared" si="7"/>
        <v>3061634.1999999997</v>
      </c>
      <c r="G38" s="80">
        <f t="shared" si="7"/>
        <v>14498970.169999998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340000</v>
      </c>
      <c r="C41" s="80">
        <v>-260000</v>
      </c>
      <c r="D41" s="80">
        <v>80000</v>
      </c>
      <c r="E41" s="80">
        <v>0</v>
      </c>
      <c r="F41" s="80">
        <v>0</v>
      </c>
      <c r="G41" s="80">
        <f t="shared" si="8"/>
        <v>80000</v>
      </c>
    </row>
    <row r="42" spans="1:7" x14ac:dyDescent="0.25">
      <c r="A42" s="84" t="s">
        <v>318</v>
      </c>
      <c r="B42" s="80">
        <v>5391366.6399999997</v>
      </c>
      <c r="C42" s="80">
        <v>240000</v>
      </c>
      <c r="D42" s="80">
        <v>5631366.6399999997</v>
      </c>
      <c r="E42" s="80">
        <v>74686.570000000007</v>
      </c>
      <c r="F42" s="80">
        <v>1169164.95</v>
      </c>
      <c r="G42" s="80">
        <f t="shared" si="8"/>
        <v>5556680.0699999994</v>
      </c>
    </row>
    <row r="43" spans="1:7" x14ac:dyDescent="0.25">
      <c r="A43" s="84" t="s">
        <v>319</v>
      </c>
      <c r="B43" s="80">
        <v>8262290.0999999996</v>
      </c>
      <c r="C43" s="80">
        <v>0</v>
      </c>
      <c r="D43" s="80">
        <v>8262290.0999999996</v>
      </c>
      <c r="E43" s="80">
        <v>0</v>
      </c>
      <c r="F43" s="80">
        <v>1810218.22</v>
      </c>
      <c r="G43" s="80">
        <f t="shared" si="8"/>
        <v>8262290.0999999996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0</v>
      </c>
      <c r="D46" s="80">
        <v>600000</v>
      </c>
      <c r="E46" s="80">
        <v>0</v>
      </c>
      <c r="F46" s="80">
        <v>82251.03</v>
      </c>
      <c r="G46" s="80">
        <f t="shared" si="8"/>
        <v>600000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857747.07000000007</v>
      </c>
      <c r="C48" s="80">
        <f t="shared" ref="C48:G48" si="9">SUM(C49:C57)</f>
        <v>38750</v>
      </c>
      <c r="D48" s="80">
        <f t="shared" si="9"/>
        <v>896497.07000000007</v>
      </c>
      <c r="E48" s="80">
        <f t="shared" si="9"/>
        <v>0</v>
      </c>
      <c r="F48" s="80">
        <f t="shared" si="9"/>
        <v>10556.93</v>
      </c>
      <c r="G48" s="80">
        <f t="shared" si="9"/>
        <v>896497.07000000007</v>
      </c>
    </row>
    <row r="49" spans="1:7" x14ac:dyDescent="0.25">
      <c r="A49" s="84" t="s">
        <v>325</v>
      </c>
      <c r="B49" s="80">
        <v>410312.07</v>
      </c>
      <c r="C49" s="80">
        <v>38750</v>
      </c>
      <c r="D49" s="80">
        <v>449062.07</v>
      </c>
      <c r="E49" s="80">
        <v>0</v>
      </c>
      <c r="F49" s="80">
        <v>10556.93</v>
      </c>
      <c r="G49" s="80">
        <f>D49-E49</f>
        <v>449062.07</v>
      </c>
    </row>
    <row r="50" spans="1:7" x14ac:dyDescent="0.25">
      <c r="A50" s="84" t="s">
        <v>326</v>
      </c>
      <c r="B50" s="80">
        <v>35600</v>
      </c>
      <c r="C50" s="80">
        <v>0</v>
      </c>
      <c r="D50" s="80">
        <v>35600</v>
      </c>
      <c r="E50" s="80">
        <v>0</v>
      </c>
      <c r="F50" s="80">
        <v>0</v>
      </c>
      <c r="G50" s="80">
        <f t="shared" ref="G50:G57" si="10">D50-E50</f>
        <v>35600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340000</v>
      </c>
      <c r="C52" s="80">
        <v>0</v>
      </c>
      <c r="D52" s="80">
        <v>340000</v>
      </c>
      <c r="E52" s="80">
        <v>0</v>
      </c>
      <c r="F52" s="80">
        <v>0</v>
      </c>
      <c r="G52" s="80">
        <f t="shared" si="10"/>
        <v>340000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30000</v>
      </c>
      <c r="C54" s="80">
        <v>0</v>
      </c>
      <c r="D54" s="80">
        <v>30000</v>
      </c>
      <c r="E54" s="80">
        <v>0</v>
      </c>
      <c r="F54" s="80">
        <v>0</v>
      </c>
      <c r="G54" s="80">
        <f t="shared" si="10"/>
        <v>30000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/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>
        <v>41835</v>
      </c>
      <c r="C57" s="80">
        <v>0</v>
      </c>
      <c r="D57" s="80">
        <v>41835</v>
      </c>
      <c r="E57" s="80">
        <v>0</v>
      </c>
      <c r="F57" s="80">
        <v>0</v>
      </c>
      <c r="G57" s="80">
        <f t="shared" si="10"/>
        <v>41835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40443088.710000001</v>
      </c>
      <c r="D58" s="80">
        <f t="shared" si="11"/>
        <v>40443088.710000001</v>
      </c>
      <c r="E58" s="80">
        <f t="shared" si="11"/>
        <v>0</v>
      </c>
      <c r="F58" s="80">
        <f t="shared" si="11"/>
        <v>9093000.0399999991</v>
      </c>
      <c r="G58" s="80">
        <f t="shared" si="11"/>
        <v>40443088.710000001</v>
      </c>
    </row>
    <row r="59" spans="1:7" x14ac:dyDescent="0.25">
      <c r="A59" s="84" t="s">
        <v>335</v>
      </c>
      <c r="B59" s="80">
        <v>0</v>
      </c>
      <c r="C59" s="80">
        <v>40443088.710000001</v>
      </c>
      <c r="D59" s="80">
        <v>40443088.710000001</v>
      </c>
      <c r="E59" s="80">
        <v>0</v>
      </c>
      <c r="F59" s="80">
        <v>9093000.0399999991</v>
      </c>
      <c r="G59" s="80">
        <f>D59-E59</f>
        <v>40443088.710000001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/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33000</v>
      </c>
      <c r="C71" s="80">
        <f t="shared" ref="C71:G71" si="15">SUM(C72:C74)</f>
        <v>247000</v>
      </c>
      <c r="D71" s="80">
        <f t="shared" si="15"/>
        <v>280000</v>
      </c>
      <c r="E71" s="80">
        <f t="shared" si="15"/>
        <v>0</v>
      </c>
      <c r="F71" s="80">
        <f t="shared" si="15"/>
        <v>0</v>
      </c>
      <c r="G71" s="80">
        <f t="shared" si="15"/>
        <v>280000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33000</v>
      </c>
      <c r="C74" s="80">
        <v>247000</v>
      </c>
      <c r="D74" s="80">
        <v>280000</v>
      </c>
      <c r="E74" s="80">
        <v>0</v>
      </c>
      <c r="F74" s="80">
        <v>0</v>
      </c>
      <c r="G74" s="80">
        <f t="shared" si="16"/>
        <v>280000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243988530.84999999</v>
      </c>
      <c r="C84" s="79">
        <f t="shared" ref="C84:G84" si="19">SUM(C85,C93,C103,C113,C123,C133,C137,C146,C150)</f>
        <v>17258692.579999998</v>
      </c>
      <c r="D84" s="79">
        <f t="shared" si="19"/>
        <v>261247223.43000001</v>
      </c>
      <c r="E84" s="79">
        <f t="shared" si="19"/>
        <v>2354539.84</v>
      </c>
      <c r="F84" s="79">
        <f t="shared" si="19"/>
        <v>51984791.130000003</v>
      </c>
      <c r="G84" s="79">
        <f t="shared" si="19"/>
        <v>258892683.58999997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22235936.759999998</v>
      </c>
      <c r="C93" s="80">
        <f t="shared" ref="C93:G93" si="22">SUM(C94:C102)</f>
        <v>-62400</v>
      </c>
      <c r="D93" s="80">
        <f t="shared" si="22"/>
        <v>22173536.759999998</v>
      </c>
      <c r="E93" s="80">
        <f t="shared" si="22"/>
        <v>766395.67999999993</v>
      </c>
      <c r="F93" s="80">
        <f t="shared" si="22"/>
        <v>4002629.29</v>
      </c>
      <c r="G93" s="80">
        <f t="shared" si="22"/>
        <v>21407141.080000002</v>
      </c>
    </row>
    <row r="94" spans="1:7" x14ac:dyDescent="0.25">
      <c r="A94" s="84" t="s">
        <v>295</v>
      </c>
      <c r="B94" s="80">
        <v>1243284.56</v>
      </c>
      <c r="C94" s="80">
        <v>0</v>
      </c>
      <c r="D94" s="80">
        <v>1243284.56</v>
      </c>
      <c r="E94" s="80">
        <v>28349.49</v>
      </c>
      <c r="F94" s="80">
        <v>107681.21</v>
      </c>
      <c r="G94" s="80">
        <f>D94-E94</f>
        <v>1214935.07</v>
      </c>
    </row>
    <row r="95" spans="1:7" x14ac:dyDescent="0.25">
      <c r="A95" s="84" t="s">
        <v>296</v>
      </c>
      <c r="B95" s="80">
        <v>550372.13</v>
      </c>
      <c r="C95" s="80">
        <v>-12000</v>
      </c>
      <c r="D95" s="80">
        <v>538372.13</v>
      </c>
      <c r="E95" s="80">
        <v>4634.96</v>
      </c>
      <c r="F95" s="80">
        <v>12972</v>
      </c>
      <c r="G95" s="80">
        <f t="shared" ref="G95:G102" si="23">D95-E95</f>
        <v>533737.17000000004</v>
      </c>
    </row>
    <row r="96" spans="1:7" x14ac:dyDescent="0.25">
      <c r="A96" s="84" t="s">
        <v>297</v>
      </c>
      <c r="B96" s="80">
        <v>25000</v>
      </c>
      <c r="C96" s="80">
        <v>-1500</v>
      </c>
      <c r="D96" s="80">
        <v>23500</v>
      </c>
      <c r="E96" s="80">
        <v>0</v>
      </c>
      <c r="F96" s="80">
        <v>0</v>
      </c>
      <c r="G96" s="80">
        <f t="shared" si="23"/>
        <v>23500</v>
      </c>
    </row>
    <row r="97" spans="1:7" x14ac:dyDescent="0.25">
      <c r="A97" s="84" t="s">
        <v>298</v>
      </c>
      <c r="B97" s="80">
        <v>2265479.9700000002</v>
      </c>
      <c r="C97" s="80">
        <v>-8300</v>
      </c>
      <c r="D97" s="80">
        <v>2257179.9700000002</v>
      </c>
      <c r="E97" s="80">
        <v>19828.07</v>
      </c>
      <c r="F97" s="80">
        <v>196833.06</v>
      </c>
      <c r="G97" s="80">
        <f t="shared" si="23"/>
        <v>2237351.9000000004</v>
      </c>
    </row>
    <row r="98" spans="1:7" x14ac:dyDescent="0.25">
      <c r="A98" s="42" t="s">
        <v>299</v>
      </c>
      <c r="B98" s="80">
        <v>213033.75</v>
      </c>
      <c r="C98" s="80">
        <v>-5500</v>
      </c>
      <c r="D98" s="80">
        <v>207533.75</v>
      </c>
      <c r="E98" s="80">
        <v>31640.29</v>
      </c>
      <c r="F98" s="80">
        <v>0</v>
      </c>
      <c r="G98" s="80">
        <f t="shared" si="23"/>
        <v>175893.46</v>
      </c>
    </row>
    <row r="99" spans="1:7" x14ac:dyDescent="0.25">
      <c r="A99" s="84" t="s">
        <v>300</v>
      </c>
      <c r="B99" s="80">
        <v>12237334.779999999</v>
      </c>
      <c r="C99" s="80">
        <v>-30000</v>
      </c>
      <c r="D99" s="80">
        <v>12207334.779999999</v>
      </c>
      <c r="E99" s="80">
        <v>605948.07999999996</v>
      </c>
      <c r="F99" s="80">
        <v>3144340.07</v>
      </c>
      <c r="G99" s="80">
        <f t="shared" si="23"/>
        <v>11601386.699999999</v>
      </c>
    </row>
    <row r="100" spans="1:7" x14ac:dyDescent="0.25">
      <c r="A100" s="84" t="s">
        <v>301</v>
      </c>
      <c r="B100" s="80">
        <v>2535750.0099999998</v>
      </c>
      <c r="C100" s="80">
        <v>13100</v>
      </c>
      <c r="D100" s="80">
        <v>2548850.0099999998</v>
      </c>
      <c r="E100" s="80">
        <v>0</v>
      </c>
      <c r="F100" s="80">
        <v>34457.33</v>
      </c>
      <c r="G100" s="80">
        <f t="shared" si="23"/>
        <v>2548850.0099999998</v>
      </c>
    </row>
    <row r="101" spans="1:7" x14ac:dyDescent="0.25">
      <c r="A101" s="84" t="s">
        <v>302</v>
      </c>
      <c r="B101" s="80">
        <v>20000</v>
      </c>
      <c r="C101" s="80">
        <v>0</v>
      </c>
      <c r="D101" s="80">
        <v>20000</v>
      </c>
      <c r="E101" s="80">
        <v>0</v>
      </c>
      <c r="F101" s="80">
        <v>0</v>
      </c>
      <c r="G101" s="80">
        <f t="shared" si="23"/>
        <v>20000</v>
      </c>
    </row>
    <row r="102" spans="1:7" x14ac:dyDescent="0.25">
      <c r="A102" s="84" t="s">
        <v>303</v>
      </c>
      <c r="B102" s="80">
        <v>3145681.56</v>
      </c>
      <c r="C102" s="80">
        <v>-18200</v>
      </c>
      <c r="D102" s="80">
        <v>3127481.56</v>
      </c>
      <c r="E102" s="80">
        <v>75994.789999999994</v>
      </c>
      <c r="F102" s="80">
        <v>506345.62</v>
      </c>
      <c r="G102" s="80">
        <f t="shared" si="23"/>
        <v>3051486.77</v>
      </c>
    </row>
    <row r="103" spans="1:7" x14ac:dyDescent="0.25">
      <c r="A103" s="83" t="s">
        <v>304</v>
      </c>
      <c r="B103" s="80">
        <f>SUM(B104:B112)</f>
        <v>25001636.359999999</v>
      </c>
      <c r="C103" s="80">
        <f>SUM(C104:C112)</f>
        <v>-1067864.95</v>
      </c>
      <c r="D103" s="80">
        <f t="shared" ref="D103:G103" si="24">SUM(D104:D112)</f>
        <v>23933771.41</v>
      </c>
      <c r="E103" s="80">
        <f t="shared" si="24"/>
        <v>1585824.16</v>
      </c>
      <c r="F103" s="80">
        <f t="shared" si="24"/>
        <v>4634782.0999999996</v>
      </c>
      <c r="G103" s="80">
        <f t="shared" si="24"/>
        <v>22347947.249999996</v>
      </c>
    </row>
    <row r="104" spans="1:7" x14ac:dyDescent="0.25">
      <c r="A104" s="84" t="s">
        <v>305</v>
      </c>
      <c r="B104" s="80">
        <v>14334216</v>
      </c>
      <c r="C104" s="80">
        <v>-388000</v>
      </c>
      <c r="D104" s="80">
        <v>13946216</v>
      </c>
      <c r="E104" s="80">
        <v>12295</v>
      </c>
      <c r="F104" s="80">
        <v>2803337.15</v>
      </c>
      <c r="G104" s="80">
        <f>D104-E104</f>
        <v>13933921</v>
      </c>
    </row>
    <row r="105" spans="1:7" x14ac:dyDescent="0.25">
      <c r="A105" s="84" t="s">
        <v>306</v>
      </c>
      <c r="B105" s="80">
        <v>461843.24</v>
      </c>
      <c r="C105" s="80">
        <v>67500</v>
      </c>
      <c r="D105" s="80">
        <v>529343.24</v>
      </c>
      <c r="E105" s="80">
        <v>0</v>
      </c>
      <c r="F105" s="80">
        <v>63398.04</v>
      </c>
      <c r="G105" s="80">
        <f t="shared" ref="G105:G112" si="25">D105-E105</f>
        <v>529343.24</v>
      </c>
    </row>
    <row r="106" spans="1:7" x14ac:dyDescent="0.25">
      <c r="A106" s="84" t="s">
        <v>307</v>
      </c>
      <c r="B106" s="80">
        <v>5977377.3899999997</v>
      </c>
      <c r="C106" s="80">
        <v>-1194364.95</v>
      </c>
      <c r="D106" s="80">
        <v>4783012.4400000004</v>
      </c>
      <c r="E106" s="80">
        <v>0</v>
      </c>
      <c r="F106" s="80">
        <v>1502986.73</v>
      </c>
      <c r="G106" s="80">
        <f t="shared" si="25"/>
        <v>4783012.4400000004</v>
      </c>
    </row>
    <row r="107" spans="1:7" x14ac:dyDescent="0.25">
      <c r="A107" s="84" t="s">
        <v>308</v>
      </c>
      <c r="B107" s="80">
        <v>2140000</v>
      </c>
      <c r="C107" s="80">
        <v>260000</v>
      </c>
      <c r="D107" s="80">
        <v>2400000</v>
      </c>
      <c r="E107" s="80">
        <v>1554972.96</v>
      </c>
      <c r="F107" s="80">
        <v>24797.42</v>
      </c>
      <c r="G107" s="80">
        <f t="shared" si="25"/>
        <v>845027.04</v>
      </c>
    </row>
    <row r="108" spans="1:7" x14ac:dyDescent="0.25">
      <c r="A108" s="84" t="s">
        <v>309</v>
      </c>
      <c r="B108" s="80">
        <v>1690277.07</v>
      </c>
      <c r="C108" s="80">
        <v>-3000</v>
      </c>
      <c r="D108" s="80">
        <v>1687277.07</v>
      </c>
      <c r="E108" s="80">
        <v>18333.8</v>
      </c>
      <c r="F108" s="80">
        <v>188282.76</v>
      </c>
      <c r="G108" s="80">
        <f t="shared" si="25"/>
        <v>1668943.27</v>
      </c>
    </row>
    <row r="109" spans="1:7" x14ac:dyDescent="0.25">
      <c r="A109" s="84" t="s">
        <v>310</v>
      </c>
      <c r="B109" s="80">
        <v>78000</v>
      </c>
      <c r="C109" s="80">
        <v>30000</v>
      </c>
      <c r="D109" s="80">
        <v>108000</v>
      </c>
      <c r="E109" s="80">
        <v>0</v>
      </c>
      <c r="F109" s="80">
        <v>0</v>
      </c>
      <c r="G109" s="80">
        <f t="shared" si="25"/>
        <v>108000</v>
      </c>
    </row>
    <row r="110" spans="1:7" x14ac:dyDescent="0.25">
      <c r="A110" s="84" t="s">
        <v>311</v>
      </c>
      <c r="B110" s="80">
        <v>116003.03</v>
      </c>
      <c r="C110" s="80">
        <v>0</v>
      </c>
      <c r="D110" s="80">
        <v>116003.03</v>
      </c>
      <c r="E110" s="80">
        <v>222.4</v>
      </c>
      <c r="F110" s="80">
        <v>363</v>
      </c>
      <c r="G110" s="80">
        <f t="shared" si="25"/>
        <v>115780.63</v>
      </c>
    </row>
    <row r="111" spans="1:7" x14ac:dyDescent="0.25">
      <c r="A111" s="84" t="s">
        <v>312</v>
      </c>
      <c r="B111" s="80">
        <v>24999.97</v>
      </c>
      <c r="C111" s="80">
        <v>0</v>
      </c>
      <c r="D111" s="80">
        <v>24999.97</v>
      </c>
      <c r="E111" s="80">
        <v>0</v>
      </c>
      <c r="F111" s="80">
        <v>0</v>
      </c>
      <c r="G111" s="80">
        <f t="shared" si="25"/>
        <v>24999.97</v>
      </c>
    </row>
    <row r="112" spans="1:7" x14ac:dyDescent="0.25">
      <c r="A112" s="84" t="s">
        <v>313</v>
      </c>
      <c r="B112" s="80">
        <v>178919.66</v>
      </c>
      <c r="C112" s="80">
        <v>160000</v>
      </c>
      <c r="D112" s="80">
        <v>338919.66</v>
      </c>
      <c r="E112" s="80">
        <v>0</v>
      </c>
      <c r="F112" s="80">
        <v>51617</v>
      </c>
      <c r="G112" s="80">
        <f t="shared" si="25"/>
        <v>338919.66</v>
      </c>
    </row>
    <row r="113" spans="1:7" x14ac:dyDescent="0.25">
      <c r="A113" s="83" t="s">
        <v>314</v>
      </c>
      <c r="B113" s="80">
        <f>SUM(B114:B122)</f>
        <v>55180013</v>
      </c>
      <c r="C113" s="80">
        <f t="shared" ref="C113:G113" si="26">SUM(C114:C122)</f>
        <v>-5658280.5300000003</v>
      </c>
      <c r="D113" s="80">
        <f t="shared" si="26"/>
        <v>49521732.469999999</v>
      </c>
      <c r="E113" s="80">
        <f t="shared" si="26"/>
        <v>0</v>
      </c>
      <c r="F113" s="80">
        <f t="shared" si="26"/>
        <v>10478566.49</v>
      </c>
      <c r="G113" s="80">
        <f t="shared" si="26"/>
        <v>49521732.469999999</v>
      </c>
    </row>
    <row r="114" spans="1:7" x14ac:dyDescent="0.25">
      <c r="A114" s="84" t="s">
        <v>315</v>
      </c>
      <c r="B114" s="80">
        <v>14540013</v>
      </c>
      <c r="C114" s="80">
        <v>0</v>
      </c>
      <c r="D114" s="80">
        <v>14540013</v>
      </c>
      <c r="E114" s="80">
        <v>0</v>
      </c>
      <c r="F114" s="80">
        <v>3635003.25</v>
      </c>
      <c r="G114" s="80">
        <f>D114-E114</f>
        <v>14540013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6950000</v>
      </c>
      <c r="C116" s="80">
        <v>-357466.62</v>
      </c>
      <c r="D116" s="80">
        <v>6592533.3799999999</v>
      </c>
      <c r="E116" s="80">
        <v>0</v>
      </c>
      <c r="F116" s="80">
        <v>0</v>
      </c>
      <c r="G116" s="80">
        <f t="shared" si="27"/>
        <v>6592533.3799999999</v>
      </c>
    </row>
    <row r="117" spans="1:7" x14ac:dyDescent="0.25">
      <c r="A117" s="84" t="s">
        <v>318</v>
      </c>
      <c r="B117" s="80">
        <v>33690000</v>
      </c>
      <c r="C117" s="80">
        <v>-5300813.91</v>
      </c>
      <c r="D117" s="80">
        <v>28389186.09</v>
      </c>
      <c r="E117" s="80">
        <v>0</v>
      </c>
      <c r="F117" s="80">
        <v>6843563.2400000002</v>
      </c>
      <c r="G117" s="80">
        <f t="shared" si="27"/>
        <v>28389186.09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6269383.3399999999</v>
      </c>
      <c r="C123" s="80">
        <f t="shared" ref="C123:G123" si="28">SUM(C124:C132)</f>
        <v>39400</v>
      </c>
      <c r="D123" s="80">
        <f t="shared" si="28"/>
        <v>6308783.3399999999</v>
      </c>
      <c r="E123" s="80">
        <f t="shared" si="28"/>
        <v>2320</v>
      </c>
      <c r="F123" s="80">
        <f t="shared" si="28"/>
        <v>145217.57</v>
      </c>
      <c r="G123" s="80">
        <f t="shared" si="28"/>
        <v>6306463.3399999999</v>
      </c>
    </row>
    <row r="124" spans="1:7" x14ac:dyDescent="0.25">
      <c r="A124" s="84" t="s">
        <v>325</v>
      </c>
      <c r="B124" s="80">
        <v>659383.34</v>
      </c>
      <c r="C124" s="80">
        <v>18900</v>
      </c>
      <c r="D124" s="80">
        <v>678283.34</v>
      </c>
      <c r="E124" s="80">
        <v>2320</v>
      </c>
      <c r="F124" s="80">
        <v>86358.16</v>
      </c>
      <c r="G124" s="80">
        <f>D124-E124</f>
        <v>675963.34</v>
      </c>
    </row>
    <row r="125" spans="1:7" x14ac:dyDescent="0.25">
      <c r="A125" s="84" t="s">
        <v>326</v>
      </c>
      <c r="B125" s="80">
        <v>118000</v>
      </c>
      <c r="C125" s="80">
        <v>0</v>
      </c>
      <c r="D125" s="80">
        <v>118000</v>
      </c>
      <c r="E125" s="80">
        <v>0</v>
      </c>
      <c r="F125" s="80">
        <v>0</v>
      </c>
      <c r="G125" s="80">
        <f t="shared" ref="G125:G132" si="29">D125-E125</f>
        <v>118000</v>
      </c>
    </row>
    <row r="126" spans="1:7" x14ac:dyDescent="0.25">
      <c r="A126" s="84" t="s">
        <v>327</v>
      </c>
      <c r="B126" s="80">
        <v>170000</v>
      </c>
      <c r="C126" s="80">
        <v>0</v>
      </c>
      <c r="D126" s="80">
        <v>170000</v>
      </c>
      <c r="E126" s="80">
        <v>0</v>
      </c>
      <c r="F126" s="80">
        <v>0</v>
      </c>
      <c r="G126" s="80">
        <f t="shared" si="29"/>
        <v>170000</v>
      </c>
    </row>
    <row r="127" spans="1:7" x14ac:dyDescent="0.25">
      <c r="A127" s="84" t="s">
        <v>328</v>
      </c>
      <c r="B127" s="80">
        <v>4400000</v>
      </c>
      <c r="C127" s="80">
        <v>0</v>
      </c>
      <c r="D127" s="80">
        <v>4400000</v>
      </c>
      <c r="E127" s="80">
        <v>0</v>
      </c>
      <c r="F127" s="80">
        <v>0</v>
      </c>
      <c r="G127" s="80">
        <f t="shared" si="29"/>
        <v>4400000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>
        <v>887000</v>
      </c>
      <c r="C129" s="80">
        <v>20500</v>
      </c>
      <c r="D129" s="80">
        <v>907500</v>
      </c>
      <c r="E129" s="80">
        <v>0</v>
      </c>
      <c r="F129" s="80">
        <v>58859.41</v>
      </c>
      <c r="G129" s="80">
        <f t="shared" si="29"/>
        <v>907500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35000</v>
      </c>
      <c r="C132" s="80">
        <v>0</v>
      </c>
      <c r="D132" s="80">
        <v>35000</v>
      </c>
      <c r="E132" s="80">
        <v>0</v>
      </c>
      <c r="F132" s="80">
        <v>0</v>
      </c>
      <c r="G132" s="80">
        <f t="shared" si="29"/>
        <v>35000</v>
      </c>
    </row>
    <row r="133" spans="1:7" x14ac:dyDescent="0.25">
      <c r="A133" s="83" t="s">
        <v>334</v>
      </c>
      <c r="B133" s="80">
        <f>SUM(B134:B136)</f>
        <v>131150000</v>
      </c>
      <c r="C133" s="80">
        <f t="shared" ref="C133:G133" si="30">SUM(C134:C136)</f>
        <v>26153806.140000001</v>
      </c>
      <c r="D133" s="80">
        <f t="shared" si="30"/>
        <v>157303806.13999999</v>
      </c>
      <c r="E133" s="80">
        <f t="shared" si="30"/>
        <v>0</v>
      </c>
      <c r="F133" s="80">
        <f t="shared" si="30"/>
        <v>32639745.68</v>
      </c>
      <c r="G133" s="80">
        <f t="shared" si="30"/>
        <v>157303806.13999999</v>
      </c>
    </row>
    <row r="134" spans="1:7" x14ac:dyDescent="0.25">
      <c r="A134" s="84" t="s">
        <v>335</v>
      </c>
      <c r="B134" s="80">
        <v>131150000</v>
      </c>
      <c r="C134" s="80">
        <v>26153806.140000001</v>
      </c>
      <c r="D134" s="80">
        <v>157303806.13999999</v>
      </c>
      <c r="E134" s="80">
        <v>0</v>
      </c>
      <c r="F134" s="80">
        <v>32639745.68</v>
      </c>
      <c r="G134" s="80">
        <f>D134-E134</f>
        <v>157303806.13999999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4151561.39</v>
      </c>
      <c r="C146" s="80">
        <f t="shared" ref="C146:G146" si="34">SUM(C147:C149)</f>
        <v>-2145968.08</v>
      </c>
      <c r="D146" s="80">
        <f t="shared" si="34"/>
        <v>2005593.31</v>
      </c>
      <c r="E146" s="80">
        <f t="shared" si="34"/>
        <v>0</v>
      </c>
      <c r="F146" s="80">
        <f t="shared" si="34"/>
        <v>83850</v>
      </c>
      <c r="G146" s="80">
        <f t="shared" si="34"/>
        <v>2005593.31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4151561.39</v>
      </c>
      <c r="C149" s="80">
        <v>-2145968.08</v>
      </c>
      <c r="D149" s="80">
        <v>2005593.31</v>
      </c>
      <c r="E149" s="80">
        <v>0</v>
      </c>
      <c r="F149" s="80">
        <v>83850</v>
      </c>
      <c r="G149" s="80">
        <f t="shared" si="35"/>
        <v>2005593.31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409525339.18000001</v>
      </c>
      <c r="C159" s="79">
        <f t="shared" ref="C159:G159" si="38">C9+C84</f>
        <v>59619958.079999998</v>
      </c>
      <c r="D159" s="79">
        <f t="shared" si="38"/>
        <v>469145297.25999999</v>
      </c>
      <c r="E159" s="79">
        <f t="shared" si="38"/>
        <v>2471952.19</v>
      </c>
      <c r="F159" s="79">
        <f t="shared" si="38"/>
        <v>90171799.659999996</v>
      </c>
      <c r="G159" s="79">
        <f t="shared" si="38"/>
        <v>466673345.06999993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165536808.33000001</v>
      </c>
      <c r="Q2" s="18">
        <f>'Formato 6 a)'!C9</f>
        <v>42361265.5</v>
      </c>
      <c r="R2" s="18">
        <f>'Formato 6 a)'!D9</f>
        <v>207898073.83000001</v>
      </c>
      <c r="S2" s="18">
        <f>'Formato 6 a)'!E9</f>
        <v>117412.35</v>
      </c>
      <c r="T2" s="18">
        <f>'Formato 6 a)'!F9</f>
        <v>38187008.530000001</v>
      </c>
      <c r="U2" s="18">
        <f>'Formato 6 a)'!G9</f>
        <v>207780661.47999999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122746109.00000001</v>
      </c>
      <c r="Q3" s="18">
        <f>'Formato 6 a)'!C10</f>
        <v>0</v>
      </c>
      <c r="R3" s="18">
        <f>'Formato 6 a)'!D10</f>
        <v>122746109.00000001</v>
      </c>
      <c r="S3" s="18">
        <f>'Formato 6 a)'!E10</f>
        <v>0</v>
      </c>
      <c r="T3" s="18">
        <f>'Formato 6 a)'!F10</f>
        <v>24738514.57</v>
      </c>
      <c r="U3" s="18">
        <f>'Formato 6 a)'!G10</f>
        <v>122746109.00000001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72591969.840000004</v>
      </c>
      <c r="Q4" s="18">
        <f>'Formato 6 a)'!C11</f>
        <v>0</v>
      </c>
      <c r="R4" s="18">
        <f>'Formato 6 a)'!D11</f>
        <v>72591969.840000004</v>
      </c>
      <c r="S4" s="18">
        <f>'Formato 6 a)'!E11</f>
        <v>0</v>
      </c>
      <c r="T4" s="18">
        <f>'Formato 6 a)'!F11</f>
        <v>17542781.899999999</v>
      </c>
      <c r="U4" s="18">
        <f>'Formato 6 a)'!G11</f>
        <v>72591969.840000004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10695917.220000001</v>
      </c>
      <c r="Q6" s="18">
        <f>'Formato 6 a)'!C13</f>
        <v>0</v>
      </c>
      <c r="R6" s="18">
        <f>'Formato 6 a)'!D13</f>
        <v>10695917.220000001</v>
      </c>
      <c r="S6" s="18">
        <f>'Formato 6 a)'!E13</f>
        <v>0</v>
      </c>
      <c r="T6" s="18">
        <f>'Formato 6 a)'!F13</f>
        <v>2103.9</v>
      </c>
      <c r="U6" s="18">
        <f>'Formato 6 a)'!G13</f>
        <v>10695917.220000001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23201500.809999999</v>
      </c>
      <c r="Q7" s="18">
        <f>'Formato 6 a)'!C14</f>
        <v>0</v>
      </c>
      <c r="R7" s="18">
        <f>'Formato 6 a)'!D14</f>
        <v>23201500.809999999</v>
      </c>
      <c r="S7" s="18">
        <f>'Formato 6 a)'!E14</f>
        <v>0</v>
      </c>
      <c r="T7" s="18">
        <f>'Formato 6 a)'!F14</f>
        <v>3141615.91</v>
      </c>
      <c r="U7" s="18">
        <f>'Formato 6 a)'!G14</f>
        <v>23201500.809999999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12799284.01</v>
      </c>
      <c r="Q8" s="18">
        <f>'Formato 6 a)'!C15</f>
        <v>0</v>
      </c>
      <c r="R8" s="18">
        <f>'Formato 6 a)'!D15</f>
        <v>12799284.01</v>
      </c>
      <c r="S8" s="18">
        <f>'Formato 6 a)'!E15</f>
        <v>0</v>
      </c>
      <c r="T8" s="18">
        <f>'Formato 6 a)'!F15</f>
        <v>3202580.51</v>
      </c>
      <c r="U8" s="18">
        <f>'Formato 6 a)'!G15</f>
        <v>12799284.01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3457437.12</v>
      </c>
      <c r="Q10" s="18">
        <f>'Formato 6 a)'!C17</f>
        <v>0</v>
      </c>
      <c r="R10" s="18">
        <f>'Formato 6 a)'!D17</f>
        <v>3457437.12</v>
      </c>
      <c r="S10" s="18">
        <f>'Formato 6 a)'!E17</f>
        <v>0</v>
      </c>
      <c r="T10" s="18">
        <f>'Formato 6 a)'!F17</f>
        <v>849432.35</v>
      </c>
      <c r="U10" s="18">
        <f>'Formato 6 a)'!G17</f>
        <v>3457437.12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4987200.9399999995</v>
      </c>
      <c r="Q11" s="18">
        <f>'Formato 6 a)'!C18</f>
        <v>2470391.7400000002</v>
      </c>
      <c r="R11" s="18">
        <f>'Formato 6 a)'!D18</f>
        <v>7457592.6799999988</v>
      </c>
      <c r="S11" s="18">
        <f>'Formato 6 a)'!E18</f>
        <v>35823.07</v>
      </c>
      <c r="T11" s="18">
        <f>'Formato 6 a)'!F18</f>
        <v>569549.77</v>
      </c>
      <c r="U11" s="18">
        <f>'Formato 6 a)'!G18</f>
        <v>7421769.6099999994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1900459.51</v>
      </c>
      <c r="Q12" s="18">
        <f>'Formato 6 a)'!C19</f>
        <v>393658.37</v>
      </c>
      <c r="R12" s="18">
        <f>'Formato 6 a)'!D19</f>
        <v>2294117.88</v>
      </c>
      <c r="S12" s="18">
        <f>'Formato 6 a)'!E19</f>
        <v>7679.7</v>
      </c>
      <c r="T12" s="18">
        <f>'Formato 6 a)'!F19</f>
        <v>132286.54</v>
      </c>
      <c r="U12" s="18">
        <f>'Formato 6 a)'!G19</f>
        <v>2286438.1799999997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250627.51</v>
      </c>
      <c r="Q13" s="18">
        <f>'Formato 6 a)'!C20</f>
        <v>-11450</v>
      </c>
      <c r="R13" s="18">
        <f>'Formato 6 a)'!D20</f>
        <v>239177.51</v>
      </c>
      <c r="S13" s="18">
        <f>'Formato 6 a)'!E20</f>
        <v>0</v>
      </c>
      <c r="T13" s="18">
        <f>'Formato 6 a)'!F20</f>
        <v>17948.490000000002</v>
      </c>
      <c r="U13" s="18">
        <f>'Formato 6 a)'!G20</f>
        <v>239177.51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35000</v>
      </c>
      <c r="Q14" s="18">
        <f>'Formato 6 a)'!C21</f>
        <v>0</v>
      </c>
      <c r="R14" s="18">
        <f>'Formato 6 a)'!D21</f>
        <v>35000</v>
      </c>
      <c r="S14" s="18">
        <f>'Formato 6 a)'!E21</f>
        <v>0</v>
      </c>
      <c r="T14" s="18">
        <f>'Formato 6 a)'!F21</f>
        <v>0</v>
      </c>
      <c r="U14" s="18">
        <f>'Formato 6 a)'!G21</f>
        <v>35000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249582.49</v>
      </c>
      <c r="Q15" s="18">
        <f>'Formato 6 a)'!C22</f>
        <v>2040587.48</v>
      </c>
      <c r="R15" s="18">
        <f>'Formato 6 a)'!D22</f>
        <v>2290169.9700000002</v>
      </c>
      <c r="S15" s="18">
        <f>'Formato 6 a)'!E22</f>
        <v>133.99</v>
      </c>
      <c r="T15" s="18">
        <f>'Formato 6 a)'!F22</f>
        <v>24278.04</v>
      </c>
      <c r="U15" s="18">
        <f>'Formato 6 a)'!G22</f>
        <v>2290035.98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499234.03</v>
      </c>
      <c r="Q16" s="18">
        <f>'Formato 6 a)'!C23</f>
        <v>8912.52</v>
      </c>
      <c r="R16" s="18">
        <f>'Formato 6 a)'!D23</f>
        <v>508146.55</v>
      </c>
      <c r="S16" s="18">
        <f>'Formato 6 a)'!E23</f>
        <v>0</v>
      </c>
      <c r="T16" s="18">
        <f>'Formato 6 a)'!F23</f>
        <v>15959.47</v>
      </c>
      <c r="U16" s="18">
        <f>'Formato 6 a)'!G23</f>
        <v>508146.55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1520210.53</v>
      </c>
      <c r="Q17" s="18">
        <f>'Formato 6 a)'!C24</f>
        <v>-5300</v>
      </c>
      <c r="R17" s="18">
        <f>'Formato 6 a)'!D24</f>
        <v>1514910.53</v>
      </c>
      <c r="S17" s="18">
        <f>'Formato 6 a)'!E24</f>
        <v>23538.38</v>
      </c>
      <c r="T17" s="18">
        <f>'Formato 6 a)'!F24</f>
        <v>322234.09000000003</v>
      </c>
      <c r="U17" s="18">
        <f>'Formato 6 a)'!G24</f>
        <v>1491372.1500000001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145145.39000000001</v>
      </c>
      <c r="Q18" s="18">
        <f>'Formato 6 a)'!C25</f>
        <v>30000</v>
      </c>
      <c r="R18" s="18">
        <f>'Formato 6 a)'!D25</f>
        <v>175145.39</v>
      </c>
      <c r="S18" s="18">
        <f>'Formato 6 a)'!E25</f>
        <v>0</v>
      </c>
      <c r="T18" s="18">
        <f>'Formato 6 a)'!F25</f>
        <v>1752.98</v>
      </c>
      <c r="U18" s="18">
        <f>'Formato 6 a)'!G25</f>
        <v>175145.39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386941.48</v>
      </c>
      <c r="Q20" s="18">
        <f>'Formato 6 a)'!C27</f>
        <v>13983.369999999999</v>
      </c>
      <c r="R20" s="18">
        <f>'Formato 6 a)'!D27</f>
        <v>400924.85</v>
      </c>
      <c r="S20" s="18">
        <f>'Formato 6 a)'!E27</f>
        <v>4471</v>
      </c>
      <c r="T20" s="18">
        <f>'Formato 6 a)'!F27</f>
        <v>55090.16</v>
      </c>
      <c r="U20" s="18">
        <f>'Formato 6 a)'!G27</f>
        <v>396453.85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22319094.579999998</v>
      </c>
      <c r="Q21" s="18">
        <f>'Formato 6 a)'!C28</f>
        <v>-817964.95000000019</v>
      </c>
      <c r="R21" s="18">
        <f>'Formato 6 a)'!D28</f>
        <v>21501129.629999999</v>
      </c>
      <c r="S21" s="18">
        <f>'Formato 6 a)'!E28</f>
        <v>6902.71</v>
      </c>
      <c r="T21" s="18">
        <f>'Formato 6 a)'!F28</f>
        <v>713753.02</v>
      </c>
      <c r="U21" s="18">
        <f>'Formato 6 a)'!G28</f>
        <v>21494226.919999998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225429</v>
      </c>
      <c r="Q22" s="18">
        <f>'Formato 6 a)'!C29</f>
        <v>25000</v>
      </c>
      <c r="R22" s="18">
        <f>'Formato 6 a)'!D29</f>
        <v>250429</v>
      </c>
      <c r="S22" s="18">
        <f>'Formato 6 a)'!E29</f>
        <v>0</v>
      </c>
      <c r="T22" s="18">
        <f>'Formato 6 a)'!F29</f>
        <v>27985.93</v>
      </c>
      <c r="U22" s="18">
        <f>'Formato 6 a)'!G29</f>
        <v>250429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1636189.36</v>
      </c>
      <c r="Q23" s="18">
        <f>'Formato 6 a)'!C30</f>
        <v>246000</v>
      </c>
      <c r="R23" s="18">
        <f>'Formato 6 a)'!D30</f>
        <v>1882189.36</v>
      </c>
      <c r="S23" s="18">
        <f>'Formato 6 a)'!E30</f>
        <v>0</v>
      </c>
      <c r="T23" s="18">
        <f>'Formato 6 a)'!F30</f>
        <v>71122.350000000006</v>
      </c>
      <c r="U23" s="18">
        <f>'Formato 6 a)'!G30</f>
        <v>1882189.36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4512904.68</v>
      </c>
      <c r="Q24" s="18">
        <f>'Formato 6 a)'!C31</f>
        <v>230940</v>
      </c>
      <c r="R24" s="18">
        <f>'Formato 6 a)'!D31</f>
        <v>4743844.68</v>
      </c>
      <c r="S24" s="18">
        <f>'Formato 6 a)'!E31</f>
        <v>6485.71</v>
      </c>
      <c r="T24" s="18">
        <f>'Formato 6 a)'!F31</f>
        <v>201808.24</v>
      </c>
      <c r="U24" s="18">
        <f>'Formato 6 a)'!G31</f>
        <v>4737358.97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469100</v>
      </c>
      <c r="Q25" s="18">
        <f>'Formato 6 a)'!C32</f>
        <v>-8000</v>
      </c>
      <c r="R25" s="18">
        <f>'Formato 6 a)'!D32</f>
        <v>461100</v>
      </c>
      <c r="S25" s="18">
        <f>'Formato 6 a)'!E32</f>
        <v>0</v>
      </c>
      <c r="T25" s="18">
        <f>'Formato 6 a)'!F32</f>
        <v>38108.519999999997</v>
      </c>
      <c r="U25" s="18">
        <f>'Formato 6 a)'!G32</f>
        <v>461100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298638.06</v>
      </c>
      <c r="Q26" s="18">
        <f>'Formato 6 a)'!C33</f>
        <v>13000</v>
      </c>
      <c r="R26" s="18">
        <f>'Formato 6 a)'!D33</f>
        <v>311638.06</v>
      </c>
      <c r="S26" s="18">
        <f>'Formato 6 a)'!E33</f>
        <v>0</v>
      </c>
      <c r="T26" s="18">
        <f>'Formato 6 a)'!F33</f>
        <v>28309.53</v>
      </c>
      <c r="U26" s="18">
        <f>'Formato 6 a)'!G33</f>
        <v>311638.06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591072.09</v>
      </c>
      <c r="Q27" s="18">
        <f>'Formato 6 a)'!C34</f>
        <v>0</v>
      </c>
      <c r="R27" s="18">
        <f>'Formato 6 a)'!D34</f>
        <v>591072.09</v>
      </c>
      <c r="S27" s="18">
        <f>'Formato 6 a)'!E34</f>
        <v>0</v>
      </c>
      <c r="T27" s="18">
        <f>'Formato 6 a)'!F34</f>
        <v>2340</v>
      </c>
      <c r="U27" s="18">
        <f>'Formato 6 a)'!G34</f>
        <v>591072.09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158507.32</v>
      </c>
      <c r="Q28" s="18">
        <f>'Formato 6 a)'!C35</f>
        <v>0</v>
      </c>
      <c r="R28" s="18">
        <f>'Formato 6 a)'!D35</f>
        <v>158507.32</v>
      </c>
      <c r="S28" s="18">
        <f>'Formato 6 a)'!E35</f>
        <v>417</v>
      </c>
      <c r="T28" s="18">
        <f>'Formato 6 a)'!F35</f>
        <v>3631.94</v>
      </c>
      <c r="U28" s="18">
        <f>'Formato 6 a)'!G35</f>
        <v>158090.32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5202007.47</v>
      </c>
      <c r="Q29" s="18">
        <f>'Formato 6 a)'!C36</f>
        <v>-3738095.45</v>
      </c>
      <c r="R29" s="18">
        <f>'Formato 6 a)'!D36</f>
        <v>1463912.02</v>
      </c>
      <c r="S29" s="18">
        <f>'Formato 6 a)'!E36</f>
        <v>0</v>
      </c>
      <c r="T29" s="18">
        <f>'Formato 6 a)'!F36</f>
        <v>13793.73</v>
      </c>
      <c r="U29" s="18">
        <f>'Formato 6 a)'!G36</f>
        <v>1463912.02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9225246.5999999996</v>
      </c>
      <c r="Q30" s="18">
        <f>'Formato 6 a)'!C37</f>
        <v>2413190.5</v>
      </c>
      <c r="R30" s="18">
        <f>'Formato 6 a)'!D37</f>
        <v>11638437.1</v>
      </c>
      <c r="S30" s="18">
        <f>'Formato 6 a)'!E37</f>
        <v>0</v>
      </c>
      <c r="T30" s="18">
        <f>'Formato 6 a)'!F37</f>
        <v>326652.78000000003</v>
      </c>
      <c r="U30" s="18">
        <f>'Formato 6 a)'!G37</f>
        <v>11638437.1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14593656.739999998</v>
      </c>
      <c r="Q31" s="18">
        <f>'Formato 6 a)'!C38</f>
        <v>-20000</v>
      </c>
      <c r="R31" s="18">
        <f>'Formato 6 a)'!D38</f>
        <v>14573656.739999998</v>
      </c>
      <c r="S31" s="18">
        <f>'Formato 6 a)'!E38</f>
        <v>74686.570000000007</v>
      </c>
      <c r="T31" s="18">
        <f>'Formato 6 a)'!F38</f>
        <v>3061634.1999999997</v>
      </c>
      <c r="U31" s="18">
        <f>'Formato 6 a)'!G38</f>
        <v>14498970.169999998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340000</v>
      </c>
      <c r="Q34" s="18">
        <f>'Formato 6 a)'!C41</f>
        <v>-260000</v>
      </c>
      <c r="R34" s="18">
        <f>'Formato 6 a)'!D41</f>
        <v>80000</v>
      </c>
      <c r="S34" s="18">
        <f>'Formato 6 a)'!E41</f>
        <v>0</v>
      </c>
      <c r="T34" s="18">
        <f>'Formato 6 a)'!F41</f>
        <v>0</v>
      </c>
      <c r="U34" s="18">
        <f>'Formato 6 a)'!G41</f>
        <v>80000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5391366.6399999997</v>
      </c>
      <c r="Q35" s="18">
        <f>'Formato 6 a)'!C42</f>
        <v>240000</v>
      </c>
      <c r="R35" s="18">
        <f>'Formato 6 a)'!D42</f>
        <v>5631366.6399999997</v>
      </c>
      <c r="S35" s="18">
        <f>'Formato 6 a)'!E42</f>
        <v>74686.570000000007</v>
      </c>
      <c r="T35" s="18">
        <f>'Formato 6 a)'!F42</f>
        <v>1169164.95</v>
      </c>
      <c r="U35" s="18">
        <f>'Formato 6 a)'!G42</f>
        <v>5556680.0699999994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8262290.0999999996</v>
      </c>
      <c r="Q36" s="18">
        <f>'Formato 6 a)'!C43</f>
        <v>0</v>
      </c>
      <c r="R36" s="18">
        <f>'Formato 6 a)'!D43</f>
        <v>8262290.0999999996</v>
      </c>
      <c r="S36" s="18">
        <f>'Formato 6 a)'!E43</f>
        <v>0</v>
      </c>
      <c r="T36" s="18">
        <f>'Formato 6 a)'!F43</f>
        <v>1810218.22</v>
      </c>
      <c r="U36" s="18">
        <f>'Formato 6 a)'!G43</f>
        <v>8262290.0999999996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0</v>
      </c>
      <c r="R39" s="18">
        <f>'Formato 6 a)'!D46</f>
        <v>600000</v>
      </c>
      <c r="S39" s="18">
        <f>'Formato 6 a)'!E46</f>
        <v>0</v>
      </c>
      <c r="T39" s="18">
        <f>'Formato 6 a)'!F46</f>
        <v>82251.03</v>
      </c>
      <c r="U39" s="18">
        <f>'Formato 6 a)'!G46</f>
        <v>600000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857747.07000000007</v>
      </c>
      <c r="Q41" s="18">
        <f>'Formato 6 a)'!C48</f>
        <v>38750</v>
      </c>
      <c r="R41" s="18">
        <f>'Formato 6 a)'!D48</f>
        <v>896497.07000000007</v>
      </c>
      <c r="S41" s="18">
        <f>'Formato 6 a)'!E48</f>
        <v>0</v>
      </c>
      <c r="T41" s="18">
        <f>'Formato 6 a)'!F48</f>
        <v>10556.93</v>
      </c>
      <c r="U41" s="18">
        <f>'Formato 6 a)'!G48</f>
        <v>896497.07000000007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410312.07</v>
      </c>
      <c r="Q42" s="18">
        <f>'Formato 6 a)'!C49</f>
        <v>38750</v>
      </c>
      <c r="R42" s="18">
        <f>'Formato 6 a)'!D49</f>
        <v>449062.07</v>
      </c>
      <c r="S42" s="18">
        <f>'Formato 6 a)'!E49</f>
        <v>0</v>
      </c>
      <c r="T42" s="18">
        <f>'Formato 6 a)'!F49</f>
        <v>10556.93</v>
      </c>
      <c r="U42" s="18">
        <f>'Formato 6 a)'!G49</f>
        <v>449062.07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35600</v>
      </c>
      <c r="Q43" s="18">
        <f>'Formato 6 a)'!C50</f>
        <v>0</v>
      </c>
      <c r="R43" s="18">
        <f>'Formato 6 a)'!D50</f>
        <v>35600</v>
      </c>
      <c r="S43" s="18">
        <f>'Formato 6 a)'!E50</f>
        <v>0</v>
      </c>
      <c r="T43" s="18">
        <f>'Formato 6 a)'!F50</f>
        <v>0</v>
      </c>
      <c r="U43" s="18">
        <f>'Formato 6 a)'!G50</f>
        <v>35600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340000</v>
      </c>
      <c r="Q45" s="18">
        <f>'Formato 6 a)'!C52</f>
        <v>0</v>
      </c>
      <c r="R45" s="18">
        <f>'Formato 6 a)'!D52</f>
        <v>340000</v>
      </c>
      <c r="S45" s="18">
        <f>'Formato 6 a)'!E52</f>
        <v>0</v>
      </c>
      <c r="T45" s="18">
        <f>'Formato 6 a)'!F52</f>
        <v>0</v>
      </c>
      <c r="U45" s="18">
        <f>'Formato 6 a)'!G52</f>
        <v>340000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30000</v>
      </c>
      <c r="Q47" s="18">
        <f>'Formato 6 a)'!C54</f>
        <v>0</v>
      </c>
      <c r="R47" s="18">
        <f>'Formato 6 a)'!D54</f>
        <v>30000</v>
      </c>
      <c r="S47" s="18">
        <f>'Formato 6 a)'!E54</f>
        <v>0</v>
      </c>
      <c r="T47" s="18">
        <f>'Formato 6 a)'!F54</f>
        <v>0</v>
      </c>
      <c r="U47" s="18">
        <f>'Formato 6 a)'!G54</f>
        <v>30000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41835</v>
      </c>
      <c r="Q50" s="18">
        <f>'Formato 6 a)'!C57</f>
        <v>0</v>
      </c>
      <c r="R50" s="18">
        <f>'Formato 6 a)'!D57</f>
        <v>41835</v>
      </c>
      <c r="S50" s="18">
        <f>'Formato 6 a)'!E57</f>
        <v>0</v>
      </c>
      <c r="T50" s="18">
        <f>'Formato 6 a)'!F57</f>
        <v>0</v>
      </c>
      <c r="U50" s="18">
        <f>'Formato 6 a)'!G57</f>
        <v>41835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40443088.710000001</v>
      </c>
      <c r="R51" s="18">
        <f>'Formato 6 a)'!D58</f>
        <v>40443088.710000001</v>
      </c>
      <c r="S51" s="18">
        <f>'Formato 6 a)'!E58</f>
        <v>0</v>
      </c>
      <c r="T51" s="18">
        <f>'Formato 6 a)'!F58</f>
        <v>9093000.0399999991</v>
      </c>
      <c r="U51" s="18">
        <f>'Formato 6 a)'!G58</f>
        <v>40443088.710000001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40443088.710000001</v>
      </c>
      <c r="R52" s="18">
        <f>'Formato 6 a)'!D59</f>
        <v>40443088.710000001</v>
      </c>
      <c r="S52" s="18">
        <f>'Formato 6 a)'!E59</f>
        <v>0</v>
      </c>
      <c r="T52" s="18">
        <f>'Formato 6 a)'!F59</f>
        <v>9093000.0399999991</v>
      </c>
      <c r="U52" s="18">
        <f>'Formato 6 a)'!G59</f>
        <v>40443088.710000001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33000</v>
      </c>
      <c r="Q64" s="18">
        <f>'Formato 6 a)'!C71</f>
        <v>247000</v>
      </c>
      <c r="R64" s="18">
        <f>'Formato 6 a)'!D71</f>
        <v>280000</v>
      </c>
      <c r="S64" s="18">
        <f>'Formato 6 a)'!E71</f>
        <v>0</v>
      </c>
      <c r="T64" s="18">
        <f>'Formato 6 a)'!F71</f>
        <v>0</v>
      </c>
      <c r="U64" s="18">
        <f>'Formato 6 a)'!G71</f>
        <v>280000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33000</v>
      </c>
      <c r="Q67" s="18">
        <f>'Formato 6 a)'!C74</f>
        <v>247000</v>
      </c>
      <c r="R67" s="18">
        <f>'Formato 6 a)'!D74</f>
        <v>280000</v>
      </c>
      <c r="S67" s="18">
        <f>'Formato 6 a)'!E74</f>
        <v>0</v>
      </c>
      <c r="T67" s="18">
        <f>'Formato 6 a)'!F74</f>
        <v>0</v>
      </c>
      <c r="U67" s="18">
        <f>'Formato 6 a)'!G74</f>
        <v>280000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243988530.84999999</v>
      </c>
      <c r="Q76">
        <f>'Formato 6 a)'!C84</f>
        <v>17258692.579999998</v>
      </c>
      <c r="R76">
        <f>'Formato 6 a)'!D84</f>
        <v>261247223.43000001</v>
      </c>
      <c r="S76">
        <f>'Formato 6 a)'!E84</f>
        <v>2354539.84</v>
      </c>
      <c r="T76">
        <f>'Formato 6 a)'!F84</f>
        <v>51984791.130000003</v>
      </c>
      <c r="U76">
        <f>'Formato 6 a)'!G84</f>
        <v>258892683.58999997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22235936.759999998</v>
      </c>
      <c r="Q85">
        <f>'Formato 6 a)'!C93</f>
        <v>-62400</v>
      </c>
      <c r="R85">
        <f>'Formato 6 a)'!D93</f>
        <v>22173536.759999998</v>
      </c>
      <c r="S85">
        <f>'Formato 6 a)'!E93</f>
        <v>766395.67999999993</v>
      </c>
      <c r="T85">
        <f>'Formato 6 a)'!F93</f>
        <v>4002629.29</v>
      </c>
      <c r="U85">
        <f>'Formato 6 a)'!G93</f>
        <v>21407141.080000002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1243284.56</v>
      </c>
      <c r="Q86">
        <f>'Formato 6 a)'!C94</f>
        <v>0</v>
      </c>
      <c r="R86">
        <f>'Formato 6 a)'!D94</f>
        <v>1243284.56</v>
      </c>
      <c r="S86">
        <f>'Formato 6 a)'!E94</f>
        <v>28349.49</v>
      </c>
      <c r="T86">
        <f>'Formato 6 a)'!F94</f>
        <v>107681.21</v>
      </c>
      <c r="U86">
        <f>'Formato 6 a)'!G94</f>
        <v>1214935.07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550372.13</v>
      </c>
      <c r="Q87">
        <f>'Formato 6 a)'!C95</f>
        <v>-12000</v>
      </c>
      <c r="R87">
        <f>'Formato 6 a)'!D95</f>
        <v>538372.13</v>
      </c>
      <c r="S87">
        <f>'Formato 6 a)'!E95</f>
        <v>4634.96</v>
      </c>
      <c r="T87">
        <f>'Formato 6 a)'!F95</f>
        <v>12972</v>
      </c>
      <c r="U87">
        <f>'Formato 6 a)'!G95</f>
        <v>533737.17000000004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-1500</v>
      </c>
      <c r="R88">
        <f>'Formato 6 a)'!D96</f>
        <v>23500</v>
      </c>
      <c r="S88">
        <f>'Formato 6 a)'!E96</f>
        <v>0</v>
      </c>
      <c r="T88">
        <f>'Formato 6 a)'!F96</f>
        <v>0</v>
      </c>
      <c r="U88">
        <f>'Formato 6 a)'!G96</f>
        <v>23500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2265479.9700000002</v>
      </c>
      <c r="Q89">
        <f>'Formato 6 a)'!C97</f>
        <v>-8300</v>
      </c>
      <c r="R89">
        <f>'Formato 6 a)'!D97</f>
        <v>2257179.9700000002</v>
      </c>
      <c r="S89">
        <f>'Formato 6 a)'!E97</f>
        <v>19828.07</v>
      </c>
      <c r="T89">
        <f>'Formato 6 a)'!F97</f>
        <v>196833.06</v>
      </c>
      <c r="U89">
        <f>'Formato 6 a)'!G97</f>
        <v>2237351.9000000004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213033.75</v>
      </c>
      <c r="Q90">
        <f>'Formato 6 a)'!C98</f>
        <v>-5500</v>
      </c>
      <c r="R90">
        <f>'Formato 6 a)'!D98</f>
        <v>207533.75</v>
      </c>
      <c r="S90">
        <f>'Formato 6 a)'!E98</f>
        <v>31640.29</v>
      </c>
      <c r="T90">
        <f>'Formato 6 a)'!F98</f>
        <v>0</v>
      </c>
      <c r="U90">
        <f>'Formato 6 a)'!G98</f>
        <v>175893.46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12237334.779999999</v>
      </c>
      <c r="Q91">
        <f>'Formato 6 a)'!C99</f>
        <v>-30000</v>
      </c>
      <c r="R91">
        <f>'Formato 6 a)'!D99</f>
        <v>12207334.779999999</v>
      </c>
      <c r="S91">
        <f>'Formato 6 a)'!E99</f>
        <v>605948.07999999996</v>
      </c>
      <c r="T91">
        <f>'Formato 6 a)'!F99</f>
        <v>3144340.07</v>
      </c>
      <c r="U91">
        <f>'Formato 6 a)'!G99</f>
        <v>11601386.699999999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2535750.0099999998</v>
      </c>
      <c r="Q92">
        <f>'Formato 6 a)'!C100</f>
        <v>13100</v>
      </c>
      <c r="R92">
        <f>'Formato 6 a)'!D100</f>
        <v>2548850.0099999998</v>
      </c>
      <c r="S92">
        <f>'Formato 6 a)'!E100</f>
        <v>0</v>
      </c>
      <c r="T92">
        <f>'Formato 6 a)'!F100</f>
        <v>34457.33</v>
      </c>
      <c r="U92">
        <f>'Formato 6 a)'!G100</f>
        <v>2548850.0099999998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0</v>
      </c>
      <c r="R93">
        <f>'Formato 6 a)'!D101</f>
        <v>20000</v>
      </c>
      <c r="S93">
        <f>'Formato 6 a)'!E101</f>
        <v>0</v>
      </c>
      <c r="T93">
        <f>'Formato 6 a)'!F101</f>
        <v>0</v>
      </c>
      <c r="U93">
        <f>'Formato 6 a)'!G101</f>
        <v>20000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3145681.56</v>
      </c>
      <c r="Q94">
        <f>'Formato 6 a)'!C102</f>
        <v>-18200</v>
      </c>
      <c r="R94">
        <f>'Formato 6 a)'!D102</f>
        <v>3127481.56</v>
      </c>
      <c r="S94">
        <f>'Formato 6 a)'!E102</f>
        <v>75994.789999999994</v>
      </c>
      <c r="T94">
        <f>'Formato 6 a)'!F102</f>
        <v>506345.62</v>
      </c>
      <c r="U94">
        <f>'Formato 6 a)'!G102</f>
        <v>3051486.77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25001636.359999999</v>
      </c>
      <c r="Q95">
        <f>'Formato 6 a)'!C103</f>
        <v>-1067864.95</v>
      </c>
      <c r="R95">
        <f>'Formato 6 a)'!D103</f>
        <v>23933771.41</v>
      </c>
      <c r="S95">
        <f>'Formato 6 a)'!E103</f>
        <v>1585824.16</v>
      </c>
      <c r="T95">
        <f>'Formato 6 a)'!F103</f>
        <v>4634782.0999999996</v>
      </c>
      <c r="U95">
        <f>'Formato 6 a)'!G103</f>
        <v>22347947.249999996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14334216</v>
      </c>
      <c r="Q96">
        <f>'Formato 6 a)'!C104</f>
        <v>-388000</v>
      </c>
      <c r="R96">
        <f>'Formato 6 a)'!D104</f>
        <v>13946216</v>
      </c>
      <c r="S96">
        <f>'Formato 6 a)'!E104</f>
        <v>12295</v>
      </c>
      <c r="T96">
        <f>'Formato 6 a)'!F104</f>
        <v>2803337.15</v>
      </c>
      <c r="U96">
        <f>'Formato 6 a)'!G104</f>
        <v>13933921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461843.24</v>
      </c>
      <c r="Q97">
        <f>'Formato 6 a)'!C105</f>
        <v>67500</v>
      </c>
      <c r="R97">
        <f>'Formato 6 a)'!D105</f>
        <v>529343.24</v>
      </c>
      <c r="S97">
        <f>'Formato 6 a)'!E105</f>
        <v>0</v>
      </c>
      <c r="T97">
        <f>'Formato 6 a)'!F105</f>
        <v>63398.04</v>
      </c>
      <c r="U97">
        <f>'Formato 6 a)'!G105</f>
        <v>529343.24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5977377.3899999997</v>
      </c>
      <c r="Q98">
        <f>'Formato 6 a)'!C106</f>
        <v>-1194364.95</v>
      </c>
      <c r="R98">
        <f>'Formato 6 a)'!D106</f>
        <v>4783012.4400000004</v>
      </c>
      <c r="S98">
        <f>'Formato 6 a)'!E106</f>
        <v>0</v>
      </c>
      <c r="T98">
        <f>'Formato 6 a)'!F106</f>
        <v>1502986.73</v>
      </c>
      <c r="U98">
        <f>'Formato 6 a)'!G106</f>
        <v>4783012.4400000004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2140000</v>
      </c>
      <c r="Q99">
        <f>'Formato 6 a)'!C107</f>
        <v>260000</v>
      </c>
      <c r="R99">
        <f>'Formato 6 a)'!D107</f>
        <v>2400000</v>
      </c>
      <c r="S99">
        <f>'Formato 6 a)'!E107</f>
        <v>1554972.96</v>
      </c>
      <c r="T99">
        <f>'Formato 6 a)'!F107</f>
        <v>24797.42</v>
      </c>
      <c r="U99">
        <f>'Formato 6 a)'!G107</f>
        <v>845027.04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1690277.07</v>
      </c>
      <c r="Q100">
        <f>'Formato 6 a)'!C108</f>
        <v>-3000</v>
      </c>
      <c r="R100">
        <f>'Formato 6 a)'!D108</f>
        <v>1687277.07</v>
      </c>
      <c r="S100">
        <f>'Formato 6 a)'!E108</f>
        <v>18333.8</v>
      </c>
      <c r="T100">
        <f>'Formato 6 a)'!F108</f>
        <v>188282.76</v>
      </c>
      <c r="U100">
        <f>'Formato 6 a)'!G108</f>
        <v>1668943.27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78000</v>
      </c>
      <c r="Q101">
        <f>'Formato 6 a)'!C109</f>
        <v>30000</v>
      </c>
      <c r="R101">
        <f>'Formato 6 a)'!D109</f>
        <v>108000</v>
      </c>
      <c r="S101">
        <f>'Formato 6 a)'!E109</f>
        <v>0</v>
      </c>
      <c r="T101">
        <f>'Formato 6 a)'!F109</f>
        <v>0</v>
      </c>
      <c r="U101">
        <f>'Formato 6 a)'!G109</f>
        <v>108000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116003.03</v>
      </c>
      <c r="Q102">
        <f>'Formato 6 a)'!C110</f>
        <v>0</v>
      </c>
      <c r="R102">
        <f>'Formato 6 a)'!D110</f>
        <v>116003.03</v>
      </c>
      <c r="S102">
        <f>'Formato 6 a)'!E110</f>
        <v>222.4</v>
      </c>
      <c r="T102">
        <f>'Formato 6 a)'!F110</f>
        <v>363</v>
      </c>
      <c r="U102">
        <f>'Formato 6 a)'!G110</f>
        <v>115780.63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24999.97</v>
      </c>
      <c r="Q103">
        <f>'Formato 6 a)'!C111</f>
        <v>0</v>
      </c>
      <c r="R103">
        <f>'Formato 6 a)'!D111</f>
        <v>24999.97</v>
      </c>
      <c r="S103">
        <f>'Formato 6 a)'!E111</f>
        <v>0</v>
      </c>
      <c r="T103">
        <f>'Formato 6 a)'!F111</f>
        <v>0</v>
      </c>
      <c r="U103">
        <f>'Formato 6 a)'!G111</f>
        <v>24999.97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178919.66</v>
      </c>
      <c r="Q104">
        <f>'Formato 6 a)'!C112</f>
        <v>160000</v>
      </c>
      <c r="R104">
        <f>'Formato 6 a)'!D112</f>
        <v>338919.66</v>
      </c>
      <c r="S104">
        <f>'Formato 6 a)'!E112</f>
        <v>0</v>
      </c>
      <c r="T104">
        <f>'Formato 6 a)'!F112</f>
        <v>51617</v>
      </c>
      <c r="U104">
        <f>'Formato 6 a)'!G112</f>
        <v>338919.66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55180013</v>
      </c>
      <c r="Q105">
        <f>'Formato 6 a)'!C113</f>
        <v>-5658280.5300000003</v>
      </c>
      <c r="R105">
        <f>'Formato 6 a)'!D113</f>
        <v>49521732.469999999</v>
      </c>
      <c r="S105">
        <f>'Formato 6 a)'!E113</f>
        <v>0</v>
      </c>
      <c r="T105">
        <f>'Formato 6 a)'!F113</f>
        <v>10478566.49</v>
      </c>
      <c r="U105">
        <f>'Formato 6 a)'!G113</f>
        <v>49521732.469999999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14540013</v>
      </c>
      <c r="Q106">
        <f>'Formato 6 a)'!C114</f>
        <v>0</v>
      </c>
      <c r="R106">
        <f>'Formato 6 a)'!D114</f>
        <v>14540013</v>
      </c>
      <c r="S106">
        <f>'Formato 6 a)'!E114</f>
        <v>0</v>
      </c>
      <c r="T106">
        <f>'Formato 6 a)'!F114</f>
        <v>3635003.25</v>
      </c>
      <c r="U106">
        <f>'Formato 6 a)'!G114</f>
        <v>14540013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6950000</v>
      </c>
      <c r="Q108">
        <f>'Formato 6 a)'!C116</f>
        <v>-357466.62</v>
      </c>
      <c r="R108">
        <f>'Formato 6 a)'!D116</f>
        <v>6592533.3799999999</v>
      </c>
      <c r="S108">
        <f>'Formato 6 a)'!E116</f>
        <v>0</v>
      </c>
      <c r="T108">
        <f>'Formato 6 a)'!F116</f>
        <v>0</v>
      </c>
      <c r="U108">
        <f>'Formato 6 a)'!G116</f>
        <v>6592533.3799999999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33690000</v>
      </c>
      <c r="Q109">
        <f>'Formato 6 a)'!C117</f>
        <v>-5300813.91</v>
      </c>
      <c r="R109">
        <f>'Formato 6 a)'!D117</f>
        <v>28389186.09</v>
      </c>
      <c r="S109">
        <f>'Formato 6 a)'!E117</f>
        <v>0</v>
      </c>
      <c r="T109">
        <f>'Formato 6 a)'!F117</f>
        <v>6843563.2400000002</v>
      </c>
      <c r="U109">
        <f>'Formato 6 a)'!G117</f>
        <v>28389186.09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6269383.3399999999</v>
      </c>
      <c r="Q115">
        <f>'Formato 6 a)'!C123</f>
        <v>39400</v>
      </c>
      <c r="R115">
        <f>'Formato 6 a)'!D123</f>
        <v>6308783.3399999999</v>
      </c>
      <c r="S115">
        <f>'Formato 6 a)'!E123</f>
        <v>2320</v>
      </c>
      <c r="T115">
        <f>'Formato 6 a)'!F123</f>
        <v>145217.57</v>
      </c>
      <c r="U115">
        <f>'Formato 6 a)'!G123</f>
        <v>6306463.3399999999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659383.34</v>
      </c>
      <c r="Q116">
        <f>'Formato 6 a)'!C124</f>
        <v>18900</v>
      </c>
      <c r="R116">
        <f>'Formato 6 a)'!D124</f>
        <v>678283.34</v>
      </c>
      <c r="S116">
        <f>'Formato 6 a)'!E124</f>
        <v>2320</v>
      </c>
      <c r="T116">
        <f>'Formato 6 a)'!F124</f>
        <v>86358.16</v>
      </c>
      <c r="U116">
        <f>'Formato 6 a)'!G124</f>
        <v>675963.34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118000</v>
      </c>
      <c r="Q117">
        <f>'Formato 6 a)'!C125</f>
        <v>0</v>
      </c>
      <c r="R117">
        <f>'Formato 6 a)'!D125</f>
        <v>118000</v>
      </c>
      <c r="S117">
        <f>'Formato 6 a)'!E125</f>
        <v>0</v>
      </c>
      <c r="T117">
        <f>'Formato 6 a)'!F125</f>
        <v>0</v>
      </c>
      <c r="U117">
        <f>'Formato 6 a)'!G125</f>
        <v>118000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170000</v>
      </c>
      <c r="Q118">
        <f>'Formato 6 a)'!C126</f>
        <v>0</v>
      </c>
      <c r="R118">
        <f>'Formato 6 a)'!D126</f>
        <v>170000</v>
      </c>
      <c r="S118">
        <f>'Formato 6 a)'!E126</f>
        <v>0</v>
      </c>
      <c r="T118">
        <f>'Formato 6 a)'!F126</f>
        <v>0</v>
      </c>
      <c r="U118">
        <f>'Formato 6 a)'!G126</f>
        <v>170000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4400000</v>
      </c>
      <c r="Q119">
        <f>'Formato 6 a)'!C127</f>
        <v>0</v>
      </c>
      <c r="R119">
        <f>'Formato 6 a)'!D127</f>
        <v>4400000</v>
      </c>
      <c r="S119">
        <f>'Formato 6 a)'!E127</f>
        <v>0</v>
      </c>
      <c r="T119">
        <f>'Formato 6 a)'!F127</f>
        <v>0</v>
      </c>
      <c r="U119">
        <f>'Formato 6 a)'!G127</f>
        <v>4400000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887000</v>
      </c>
      <c r="Q121">
        <f>'Formato 6 a)'!C129</f>
        <v>20500</v>
      </c>
      <c r="R121">
        <f>'Formato 6 a)'!D129</f>
        <v>907500</v>
      </c>
      <c r="S121">
        <f>'Formato 6 a)'!E129</f>
        <v>0</v>
      </c>
      <c r="T121">
        <f>'Formato 6 a)'!F129</f>
        <v>58859.41</v>
      </c>
      <c r="U121">
        <f>'Formato 6 a)'!G129</f>
        <v>907500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35000</v>
      </c>
      <c r="Q124">
        <f>'Formato 6 a)'!C132</f>
        <v>0</v>
      </c>
      <c r="R124">
        <f>'Formato 6 a)'!D132</f>
        <v>35000</v>
      </c>
      <c r="S124">
        <f>'Formato 6 a)'!E132</f>
        <v>0</v>
      </c>
      <c r="T124">
        <f>'Formato 6 a)'!F132</f>
        <v>0</v>
      </c>
      <c r="U124">
        <f>'Formato 6 a)'!G132</f>
        <v>35000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131150000</v>
      </c>
      <c r="Q125">
        <f>'Formato 6 a)'!C133</f>
        <v>26153806.140000001</v>
      </c>
      <c r="R125">
        <f>'Formato 6 a)'!D133</f>
        <v>157303806.13999999</v>
      </c>
      <c r="S125">
        <f>'Formato 6 a)'!E133</f>
        <v>0</v>
      </c>
      <c r="T125">
        <f>'Formato 6 a)'!F133</f>
        <v>32639745.68</v>
      </c>
      <c r="U125">
        <f>'Formato 6 a)'!G133</f>
        <v>157303806.13999999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131150000</v>
      </c>
      <c r="Q126">
        <f>'Formato 6 a)'!C134</f>
        <v>26153806.140000001</v>
      </c>
      <c r="R126">
        <f>'Formato 6 a)'!D134</f>
        <v>157303806.13999999</v>
      </c>
      <c r="S126">
        <f>'Formato 6 a)'!E134</f>
        <v>0</v>
      </c>
      <c r="T126">
        <f>'Formato 6 a)'!F134</f>
        <v>32639745.68</v>
      </c>
      <c r="U126">
        <f>'Formato 6 a)'!G134</f>
        <v>157303806.13999999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4151561.39</v>
      </c>
      <c r="Q138">
        <f>'Formato 6 a)'!C146</f>
        <v>-2145968.08</v>
      </c>
      <c r="R138">
        <f>'Formato 6 a)'!D146</f>
        <v>2005593.31</v>
      </c>
      <c r="S138">
        <f>'Formato 6 a)'!E146</f>
        <v>0</v>
      </c>
      <c r="T138">
        <f>'Formato 6 a)'!F146</f>
        <v>83850</v>
      </c>
      <c r="U138">
        <f>'Formato 6 a)'!G146</f>
        <v>2005593.31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4151561.39</v>
      </c>
      <c r="Q141">
        <f>'Formato 6 a)'!C149</f>
        <v>-2145968.08</v>
      </c>
      <c r="R141">
        <f>'Formato 6 a)'!D149</f>
        <v>2005593.31</v>
      </c>
      <c r="S141">
        <f>'Formato 6 a)'!E149</f>
        <v>0</v>
      </c>
      <c r="T141">
        <f>'Formato 6 a)'!F149</f>
        <v>83850</v>
      </c>
      <c r="U141">
        <f>'Formato 6 a)'!G149</f>
        <v>2005593.31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409525339.18000001</v>
      </c>
      <c r="Q150">
        <f>'Formato 6 a)'!C159</f>
        <v>59619958.079999998</v>
      </c>
      <c r="R150">
        <f>'Formato 6 a)'!D159</f>
        <v>469145297.25999999</v>
      </c>
      <c r="S150">
        <f>'Formato 6 a)'!E159</f>
        <v>2471952.19</v>
      </c>
      <c r="T150">
        <f>'Formato 6 a)'!F159</f>
        <v>90171799.659999996</v>
      </c>
      <c r="U150">
        <f>'Formato 6 a)'!G159</f>
        <v>466673345.06999993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zoomScale="90" zoomScaleNormal="90" workbookViewId="0">
      <selection activeCell="D24" sqref="D2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marzo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165536808.33000001</v>
      </c>
      <c r="C9" s="59">
        <f>SUM(C10:GASTO_NE_FIN_02)</f>
        <v>42361265.5</v>
      </c>
      <c r="D9" s="59">
        <f>SUM(D10:GASTO_NE_FIN_03)</f>
        <v>207898073.83000001</v>
      </c>
      <c r="E9" s="59">
        <f>SUM(E10:GASTO_NE_FIN_04)</f>
        <v>117412.35</v>
      </c>
      <c r="F9" s="59">
        <f>SUM(F10:GASTO_NE_FIN_05)</f>
        <v>38187008.530000001</v>
      </c>
      <c r="G9" s="59">
        <f>SUM(G10:GASTO_NE_FIN_06)</f>
        <v>207780661.48000002</v>
      </c>
    </row>
    <row r="10" spans="1:7" s="24" customFormat="1" ht="14.25" x14ac:dyDescent="0.45">
      <c r="A10" s="144" t="s">
        <v>432</v>
      </c>
      <c r="B10" s="60">
        <f>+'Formato 6 a)'!B9</f>
        <v>165536808.33000001</v>
      </c>
      <c r="C10" s="60">
        <f>+'Formato 6 a)'!C9</f>
        <v>42361265.5</v>
      </c>
      <c r="D10" s="60">
        <f>+'Formato 6 a)'!D9</f>
        <v>207898073.83000001</v>
      </c>
      <c r="E10" s="60">
        <f>+'Formato 6 a)'!E9</f>
        <v>117412.35</v>
      </c>
      <c r="F10" s="60">
        <f>+'Formato 6 a)'!F9</f>
        <v>38187008.530000001</v>
      </c>
      <c r="G10" s="77">
        <f>D10-E10</f>
        <v>207780661.48000002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243988530.84999999</v>
      </c>
      <c r="C19" s="61">
        <f>SUM(C20:GASTO_E_FIN_02)</f>
        <v>17258692.579999998</v>
      </c>
      <c r="D19" s="61">
        <f>SUM(D20:GASTO_E_FIN_03)</f>
        <v>261247223.43000001</v>
      </c>
      <c r="E19" s="61">
        <f>SUM(E20:GASTO_E_FIN_04)</f>
        <v>2354539.84</v>
      </c>
      <c r="F19" s="61">
        <f>SUM(F20:GASTO_E_FIN_05)</f>
        <v>51984791.130000003</v>
      </c>
      <c r="G19" s="61">
        <f>SUM(G20:GASTO_E_FIN_06)</f>
        <v>258892683.59</v>
      </c>
    </row>
    <row r="20" spans="1:7" s="24" customFormat="1" ht="14.25" x14ac:dyDescent="0.45">
      <c r="A20" s="144" t="s">
        <v>432</v>
      </c>
      <c r="B20" s="60">
        <f>+'Formato 6 a)'!B84</f>
        <v>243988530.84999999</v>
      </c>
      <c r="C20" s="60">
        <f>+'Formato 6 a)'!C84</f>
        <v>17258692.579999998</v>
      </c>
      <c r="D20" s="60">
        <f>+'Formato 6 a)'!D84</f>
        <v>261247223.43000001</v>
      </c>
      <c r="E20" s="60">
        <f>+'Formato 6 a)'!E84</f>
        <v>2354539.84</v>
      </c>
      <c r="F20" s="60">
        <f>+'Formato 6 a)'!F84</f>
        <v>51984791.130000003</v>
      </c>
      <c r="G20" s="60">
        <f>D20-E20</f>
        <v>258892683.59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409525339.18000001</v>
      </c>
      <c r="C29" s="61">
        <f>GASTO_NE_T2+GASTO_E_T2</f>
        <v>59619958.079999998</v>
      </c>
      <c r="D29" s="61">
        <f>GASTO_NE_T3+GASTO_E_T3</f>
        <v>469145297.25999999</v>
      </c>
      <c r="E29" s="61">
        <f>GASTO_NE_T4+GASTO_E_T4</f>
        <v>2471952.19</v>
      </c>
      <c r="F29" s="61">
        <f>GASTO_NE_T5+GASTO_E_T5</f>
        <v>90171799.659999996</v>
      </c>
      <c r="G29" s="61">
        <f>GASTO_NE_T6+GASTO_E_T6</f>
        <v>466673345.07000005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165536808.33000001</v>
      </c>
      <c r="Q2" s="18">
        <f>GASTO_NE_T2</f>
        <v>42361265.5</v>
      </c>
      <c r="R2" s="18">
        <f>GASTO_NE_T3</f>
        <v>207898073.83000001</v>
      </c>
      <c r="S2" s="18">
        <f>GASTO_NE_T4</f>
        <v>117412.35</v>
      </c>
      <c r="T2" s="18">
        <f>GASTO_NE_T5</f>
        <v>38187008.530000001</v>
      </c>
      <c r="U2" s="18">
        <f>GASTO_NE_T6</f>
        <v>207780661.48000002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243988530.84999999</v>
      </c>
      <c r="Q3" s="18">
        <f>GASTO_E_T2</f>
        <v>17258692.579999998</v>
      </c>
      <c r="R3" s="18">
        <f>GASTO_E_T3</f>
        <v>261247223.43000001</v>
      </c>
      <c r="S3" s="18">
        <f>GASTO_E_T4</f>
        <v>2354539.84</v>
      </c>
      <c r="T3" s="18">
        <f>GASTO_E_T5</f>
        <v>51984791.130000003</v>
      </c>
      <c r="U3" s="18">
        <f>GASTO_E_T6</f>
        <v>258892683.59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409525339.18000001</v>
      </c>
      <c r="Q4" s="18">
        <f>TOTAL_E_T2</f>
        <v>59619958.079999998</v>
      </c>
      <c r="R4" s="18">
        <f>TOTAL_E_T3</f>
        <v>469145297.25999999</v>
      </c>
      <c r="S4" s="18">
        <f>TOTAL_E_T4</f>
        <v>2471952.19</v>
      </c>
      <c r="T4" s="18">
        <f>TOTAL_E_T5</f>
        <v>90171799.659999996</v>
      </c>
      <c r="U4" s="18">
        <f>TOTAL_E_T6</f>
        <v>466673345.07000005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tabSelected="1" zoomScale="90" zoomScaleNormal="90" workbookViewId="0">
      <selection activeCell="D19" sqref="D19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30 de marzo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165536808.32999998</v>
      </c>
      <c r="C9" s="70">
        <f t="shared" ref="C9:G9" si="0">SUM(C10,C19,C27,C37)</f>
        <v>42361265.5</v>
      </c>
      <c r="D9" s="70">
        <f t="shared" si="0"/>
        <v>207898073.83000001</v>
      </c>
      <c r="E9" s="70">
        <f t="shared" si="0"/>
        <v>117412.35</v>
      </c>
      <c r="F9" s="70">
        <f t="shared" si="0"/>
        <v>38187008.529999994</v>
      </c>
      <c r="G9" s="70">
        <f t="shared" si="0"/>
        <v>207780661.47999999</v>
      </c>
    </row>
    <row r="10" spans="1:7" ht="14.25" x14ac:dyDescent="0.45">
      <c r="A10" s="53" t="s">
        <v>364</v>
      </c>
      <c r="B10" s="71">
        <f>SUM(B11:B18)</f>
        <v>108639979.16</v>
      </c>
      <c r="C10" s="71">
        <f t="shared" ref="C10:F10" si="1">SUM(C11:C18)</f>
        <v>3458090.5</v>
      </c>
      <c r="D10" s="71">
        <f t="shared" si="1"/>
        <v>112098069.66</v>
      </c>
      <c r="E10" s="71">
        <f t="shared" si="1"/>
        <v>102914.17</v>
      </c>
      <c r="F10" s="71">
        <f t="shared" si="1"/>
        <v>19630526.439999998</v>
      </c>
      <c r="G10" s="71">
        <f>SUM(G11:G18)</f>
        <v>111995155.48999999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1173651.52</v>
      </c>
      <c r="C12" s="72">
        <v>0</v>
      </c>
      <c r="D12" s="72">
        <v>1173651.52</v>
      </c>
      <c r="E12" s="72">
        <v>0</v>
      </c>
      <c r="F12" s="72">
        <v>184315.97</v>
      </c>
      <c r="G12" s="72">
        <f t="shared" ref="G12:G18" si="2">D12-E12</f>
        <v>1173651.52</v>
      </c>
    </row>
    <row r="13" spans="1:7" x14ac:dyDescent="0.25">
      <c r="A13" s="63" t="s">
        <v>367</v>
      </c>
      <c r="B13" s="72">
        <v>37832805.230000004</v>
      </c>
      <c r="C13" s="72">
        <v>6300000</v>
      </c>
      <c r="D13" s="72">
        <v>44132805.230000004</v>
      </c>
      <c r="E13" s="72">
        <v>102914.17</v>
      </c>
      <c r="F13" s="72">
        <v>6382198.620000001</v>
      </c>
      <c r="G13" s="72">
        <f t="shared" si="2"/>
        <v>44029891.060000002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7921228.4699999997</v>
      </c>
      <c r="C15" s="72">
        <v>185927.36</v>
      </c>
      <c r="D15" s="72">
        <v>8107155.8300000001</v>
      </c>
      <c r="E15" s="72">
        <v>0</v>
      </c>
      <c r="F15" s="72">
        <v>1045344.25</v>
      </c>
      <c r="G15" s="72">
        <f t="shared" si="2"/>
        <v>8107155.8300000001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50722320.090000004</v>
      </c>
      <c r="C17" s="72">
        <v>-3027836.8600000003</v>
      </c>
      <c r="D17" s="72">
        <v>47694483.229999997</v>
      </c>
      <c r="E17" s="72">
        <v>0</v>
      </c>
      <c r="F17" s="72">
        <v>9581512.0599999987</v>
      </c>
      <c r="G17" s="72">
        <f t="shared" si="2"/>
        <v>47694483.229999997</v>
      </c>
    </row>
    <row r="18" spans="1:7" x14ac:dyDescent="0.25">
      <c r="A18" s="63" t="s">
        <v>372</v>
      </c>
      <c r="B18" s="72">
        <v>10989973.85</v>
      </c>
      <c r="C18" s="72">
        <v>0</v>
      </c>
      <c r="D18" s="72">
        <v>10989973.85</v>
      </c>
      <c r="E18" s="72">
        <v>0</v>
      </c>
      <c r="F18" s="72">
        <v>2437155.54</v>
      </c>
      <c r="G18" s="72">
        <f t="shared" si="2"/>
        <v>10989973.85</v>
      </c>
    </row>
    <row r="19" spans="1:7" ht="14.25" x14ac:dyDescent="0.45">
      <c r="A19" s="53" t="s">
        <v>373</v>
      </c>
      <c r="B19" s="71">
        <f>SUM(B20:B26)</f>
        <v>45133416.380000003</v>
      </c>
      <c r="C19" s="71">
        <f t="shared" ref="C19:F19" si="3">SUM(C20:C26)</f>
        <v>42394191.630000003</v>
      </c>
      <c r="D19" s="71">
        <f t="shared" si="3"/>
        <v>87527608.010000005</v>
      </c>
      <c r="E19" s="71">
        <f t="shared" si="3"/>
        <v>0</v>
      </c>
      <c r="F19" s="71">
        <f t="shared" si="3"/>
        <v>17405010.859999999</v>
      </c>
      <c r="G19" s="71">
        <f>SUM(G20:G26)</f>
        <v>87527608.010000005</v>
      </c>
    </row>
    <row r="20" spans="1:7" x14ac:dyDescent="0.25">
      <c r="A20" s="63" t="s">
        <v>374</v>
      </c>
      <c r="B20" s="71">
        <v>4496667.22</v>
      </c>
      <c r="C20" s="71">
        <v>0</v>
      </c>
      <c r="D20" s="71">
        <v>4496667.22</v>
      </c>
      <c r="E20" s="71">
        <v>0</v>
      </c>
      <c r="F20" s="71">
        <v>859378.48</v>
      </c>
      <c r="G20" s="72">
        <f>D20-E20</f>
        <v>4496667.22</v>
      </c>
    </row>
    <row r="21" spans="1:7" x14ac:dyDescent="0.25">
      <c r="A21" s="63" t="s">
        <v>375</v>
      </c>
      <c r="B21" s="71">
        <v>29435406.98</v>
      </c>
      <c r="C21" s="71">
        <v>42443088.710000001</v>
      </c>
      <c r="D21" s="71">
        <v>71878495.689999998</v>
      </c>
      <c r="E21" s="71">
        <v>0</v>
      </c>
      <c r="F21" s="71">
        <v>14712456.879999999</v>
      </c>
      <c r="G21" s="72">
        <f t="shared" ref="G21:G26" si="4">D21-E21</f>
        <v>71878495.689999998</v>
      </c>
    </row>
    <row r="22" spans="1:7" x14ac:dyDescent="0.25">
      <c r="A22" s="63" t="s">
        <v>376</v>
      </c>
      <c r="B22" s="71">
        <v>1106503.69</v>
      </c>
      <c r="C22" s="71">
        <v>90000</v>
      </c>
      <c r="D22" s="71">
        <v>1196503.69</v>
      </c>
      <c r="E22" s="71">
        <v>0</v>
      </c>
      <c r="F22" s="71">
        <v>129570.2</v>
      </c>
      <c r="G22" s="72">
        <f t="shared" si="4"/>
        <v>1196503.69</v>
      </c>
    </row>
    <row r="23" spans="1:7" x14ac:dyDescent="0.25">
      <c r="A23" s="63" t="s">
        <v>377</v>
      </c>
      <c r="B23" s="71">
        <v>6029344.7200000007</v>
      </c>
      <c r="C23" s="71">
        <v>293494.71000000002</v>
      </c>
      <c r="D23" s="71">
        <v>6322839.4299999997</v>
      </c>
      <c r="E23" s="71">
        <v>0</v>
      </c>
      <c r="F23" s="71">
        <v>977451.77</v>
      </c>
      <c r="G23" s="72">
        <f t="shared" si="4"/>
        <v>6322839.4299999997</v>
      </c>
    </row>
    <row r="24" spans="1:7" x14ac:dyDescent="0.25">
      <c r="A24" s="63" t="s">
        <v>378</v>
      </c>
      <c r="B24" s="71">
        <v>4065493.77</v>
      </c>
      <c r="C24" s="71">
        <v>-432391.79</v>
      </c>
      <c r="D24" s="71">
        <v>3633101.98</v>
      </c>
      <c r="E24" s="71">
        <v>0</v>
      </c>
      <c r="F24" s="71">
        <v>726153.53</v>
      </c>
      <c r="G24" s="72">
        <f t="shared" si="4"/>
        <v>3633101.98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x14ac:dyDescent="0.2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11763412.789999999</v>
      </c>
      <c r="C27" s="71">
        <f t="shared" ref="C27:F27" si="5">SUM(C28:C36)</f>
        <v>-3491016.63</v>
      </c>
      <c r="D27" s="71">
        <f t="shared" si="5"/>
        <v>8272396.1600000001</v>
      </c>
      <c r="E27" s="71">
        <f t="shared" si="5"/>
        <v>14498.18</v>
      </c>
      <c r="F27" s="71">
        <f t="shared" si="5"/>
        <v>1151471.23</v>
      </c>
      <c r="G27" s="71">
        <f>SUM(G28:G36)</f>
        <v>8257897.9800000004</v>
      </c>
    </row>
    <row r="28" spans="1:7" x14ac:dyDescent="0.25">
      <c r="A28" s="69" t="s">
        <v>382</v>
      </c>
      <c r="B28" s="71">
        <v>11763412.789999999</v>
      </c>
      <c r="C28" s="71">
        <v>-3491016.63</v>
      </c>
      <c r="D28" s="71">
        <v>8272396.1600000001</v>
      </c>
      <c r="E28" s="71">
        <v>14498.18</v>
      </c>
      <c r="F28" s="71">
        <v>1151471.23</v>
      </c>
      <c r="G28" s="72">
        <f>D28-E28</f>
        <v>8257897.9800000004</v>
      </c>
    </row>
    <row r="29" spans="1:7" x14ac:dyDescent="0.2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x14ac:dyDescent="0.2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x14ac:dyDescent="0.2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243988530.85000002</v>
      </c>
      <c r="C43" s="73">
        <f t="shared" ref="C43:G43" si="9">SUM(C44,C53,C61,C71)</f>
        <v>17258692.579999998</v>
      </c>
      <c r="D43" s="73">
        <f t="shared" si="9"/>
        <v>261247223.43000001</v>
      </c>
      <c r="E43" s="73">
        <f t="shared" si="9"/>
        <v>2354539.84</v>
      </c>
      <c r="F43" s="73">
        <f t="shared" si="9"/>
        <v>51984791.130000003</v>
      </c>
      <c r="G43" s="73">
        <f t="shared" si="9"/>
        <v>258892683.58999997</v>
      </c>
    </row>
    <row r="44" spans="1:7" x14ac:dyDescent="0.25">
      <c r="A44" s="53" t="s">
        <v>430</v>
      </c>
      <c r="B44" s="72">
        <f>SUM(B45:B52)</f>
        <v>37526063.990000002</v>
      </c>
      <c r="C44" s="72">
        <f t="shared" ref="C44:G44" si="10">SUM(C45:C52)</f>
        <v>0</v>
      </c>
      <c r="D44" s="72">
        <f t="shared" si="10"/>
        <v>37526063.990000002</v>
      </c>
      <c r="E44" s="72">
        <f t="shared" si="10"/>
        <v>1830505.32</v>
      </c>
      <c r="F44" s="72">
        <f t="shared" si="10"/>
        <v>6676573.7199999997</v>
      </c>
      <c r="G44" s="72">
        <f t="shared" si="10"/>
        <v>35695558.670000002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21526063.990000002</v>
      </c>
      <c r="C47" s="72">
        <v>0</v>
      </c>
      <c r="D47" s="72">
        <v>21526063.990000002</v>
      </c>
      <c r="E47" s="72">
        <v>1719361.04</v>
      </c>
      <c r="F47" s="72">
        <v>4635509.13</v>
      </c>
      <c r="G47" s="72">
        <f t="shared" si="11"/>
        <v>19806702.950000003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16000000</v>
      </c>
      <c r="C51" s="72">
        <v>0</v>
      </c>
      <c r="D51" s="72">
        <v>16000000</v>
      </c>
      <c r="E51" s="72">
        <v>111144.28</v>
      </c>
      <c r="F51" s="72">
        <v>2041064.5899999999</v>
      </c>
      <c r="G51" s="72">
        <f t="shared" si="11"/>
        <v>15888855.720000001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206462466.86000001</v>
      </c>
      <c r="C53" s="71">
        <f t="shared" ref="C53:G53" si="12">SUM(C54:C60)</f>
        <v>17258692.579999998</v>
      </c>
      <c r="D53" s="71">
        <f t="shared" si="12"/>
        <v>223721159.44</v>
      </c>
      <c r="E53" s="71">
        <f t="shared" si="12"/>
        <v>524034.51999999996</v>
      </c>
      <c r="F53" s="71">
        <f t="shared" si="12"/>
        <v>45308217.410000004</v>
      </c>
      <c r="G53" s="71">
        <f t="shared" si="12"/>
        <v>223197124.91999999</v>
      </c>
    </row>
    <row r="54" spans="1:7" x14ac:dyDescent="0.25">
      <c r="A54" s="69" t="s">
        <v>374</v>
      </c>
      <c r="B54" s="71">
        <v>780466</v>
      </c>
      <c r="C54" s="71">
        <v>0</v>
      </c>
      <c r="D54" s="71">
        <v>780466</v>
      </c>
      <c r="E54" s="71">
        <v>22091.55</v>
      </c>
      <c r="F54" s="71">
        <v>268200.86</v>
      </c>
      <c r="G54" s="72">
        <f>D54-E54</f>
        <v>758374.45</v>
      </c>
    </row>
    <row r="55" spans="1:7" x14ac:dyDescent="0.25">
      <c r="A55" s="69" t="s">
        <v>375</v>
      </c>
      <c r="B55" s="71">
        <v>204182000.86000001</v>
      </c>
      <c r="C55" s="71">
        <v>17258692.579999998</v>
      </c>
      <c r="D55" s="71">
        <v>221440693.44</v>
      </c>
      <c r="E55" s="71">
        <v>501942.97</v>
      </c>
      <c r="F55" s="71">
        <v>44944616.550000004</v>
      </c>
      <c r="G55" s="72">
        <f t="shared" ref="G55:G60" si="13">D55-E55</f>
        <v>220938750.47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0</v>
      </c>
      <c r="D58" s="71">
        <v>1500000</v>
      </c>
      <c r="E58" s="71">
        <v>0</v>
      </c>
      <c r="F58" s="71">
        <v>95400</v>
      </c>
      <c r="G58" s="72">
        <f t="shared" si="13"/>
        <v>1500000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409525339.18000001</v>
      </c>
      <c r="C77" s="73">
        <f t="shared" ref="C77:F77" si="18">C43+C9</f>
        <v>59619958.079999998</v>
      </c>
      <c r="D77" s="73">
        <f t="shared" si="18"/>
        <v>469145297.25999999</v>
      </c>
      <c r="E77" s="73">
        <f t="shared" si="18"/>
        <v>2471952.19</v>
      </c>
      <c r="F77" s="73">
        <f t="shared" si="18"/>
        <v>90171799.659999996</v>
      </c>
      <c r="G77" s="73">
        <f>G43+G9</f>
        <v>466673345.06999993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165536808.32999998</v>
      </c>
      <c r="Q2" s="18">
        <f>'Formato 6 c)'!C9</f>
        <v>42361265.5</v>
      </c>
      <c r="R2" s="18">
        <f>'Formato 6 c)'!D9</f>
        <v>207898073.83000001</v>
      </c>
      <c r="S2" s="18">
        <f>'Formato 6 c)'!E9</f>
        <v>117412.35</v>
      </c>
      <c r="T2" s="18">
        <f>'Formato 6 c)'!F9</f>
        <v>38187008.529999994</v>
      </c>
      <c r="U2" s="18">
        <f>'Formato 6 c)'!G9</f>
        <v>207780661.47999999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108639979.16</v>
      </c>
      <c r="Q3" s="18">
        <f>'Formato 6 c)'!C10</f>
        <v>3458090.5</v>
      </c>
      <c r="R3" s="18">
        <f>'Formato 6 c)'!D10</f>
        <v>112098069.66</v>
      </c>
      <c r="S3" s="18">
        <f>'Formato 6 c)'!E10</f>
        <v>102914.17</v>
      </c>
      <c r="T3" s="18">
        <f>'Formato 6 c)'!F10</f>
        <v>19630526.439999998</v>
      </c>
      <c r="U3" s="18">
        <f>'Formato 6 c)'!G10</f>
        <v>111995155.48999999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1173651.52</v>
      </c>
      <c r="Q5" s="18">
        <f>'Formato 6 c)'!C12</f>
        <v>0</v>
      </c>
      <c r="R5" s="18">
        <f>'Formato 6 c)'!D12</f>
        <v>1173651.52</v>
      </c>
      <c r="S5" s="18">
        <f>'Formato 6 c)'!E12</f>
        <v>0</v>
      </c>
      <c r="T5" s="18">
        <f>'Formato 6 c)'!F12</f>
        <v>184315.97</v>
      </c>
      <c r="U5" s="18">
        <f>'Formato 6 c)'!G12</f>
        <v>1173651.52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37832805.230000004</v>
      </c>
      <c r="Q6" s="18">
        <f>'Formato 6 c)'!C13</f>
        <v>6300000</v>
      </c>
      <c r="R6" s="18">
        <f>'Formato 6 c)'!D13</f>
        <v>44132805.230000004</v>
      </c>
      <c r="S6" s="18">
        <f>'Formato 6 c)'!E13</f>
        <v>102914.17</v>
      </c>
      <c r="T6" s="18">
        <f>'Formato 6 c)'!F13</f>
        <v>6382198.620000001</v>
      </c>
      <c r="U6" s="18">
        <f>'Formato 6 c)'!G13</f>
        <v>44029891.060000002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7921228.4699999997</v>
      </c>
      <c r="Q8" s="18">
        <f>'Formato 6 c)'!C15</f>
        <v>185927.36</v>
      </c>
      <c r="R8" s="18">
        <f>'Formato 6 c)'!D15</f>
        <v>8107155.8300000001</v>
      </c>
      <c r="S8" s="18">
        <f>'Formato 6 c)'!E15</f>
        <v>0</v>
      </c>
      <c r="T8" s="18">
        <f>'Formato 6 c)'!F15</f>
        <v>1045344.25</v>
      </c>
      <c r="U8" s="18">
        <f>'Formato 6 c)'!G15</f>
        <v>8107155.8300000001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50722320.090000004</v>
      </c>
      <c r="Q10" s="18">
        <f>'Formato 6 c)'!C17</f>
        <v>-3027836.8600000003</v>
      </c>
      <c r="R10" s="18">
        <f>'Formato 6 c)'!D17</f>
        <v>47694483.229999997</v>
      </c>
      <c r="S10" s="18">
        <f>'Formato 6 c)'!E17</f>
        <v>0</v>
      </c>
      <c r="T10" s="18">
        <f>'Formato 6 c)'!F17</f>
        <v>9581512.0599999987</v>
      </c>
      <c r="U10" s="18">
        <f>'Formato 6 c)'!G17</f>
        <v>47694483.229999997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10989973.85</v>
      </c>
      <c r="Q11" s="18">
        <f>'Formato 6 c)'!C18</f>
        <v>0</v>
      </c>
      <c r="R11" s="18">
        <f>'Formato 6 c)'!D18</f>
        <v>10989973.85</v>
      </c>
      <c r="S11" s="18">
        <f>'Formato 6 c)'!E18</f>
        <v>0</v>
      </c>
      <c r="T11" s="18">
        <f>'Formato 6 c)'!F18</f>
        <v>2437155.54</v>
      </c>
      <c r="U11" s="18">
        <f>'Formato 6 c)'!G18</f>
        <v>10989973.85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45133416.380000003</v>
      </c>
      <c r="Q12" s="18">
        <f>'Formato 6 c)'!C19</f>
        <v>42394191.630000003</v>
      </c>
      <c r="R12" s="18">
        <f>'Formato 6 c)'!D19</f>
        <v>87527608.010000005</v>
      </c>
      <c r="S12" s="18">
        <f>'Formato 6 c)'!E19</f>
        <v>0</v>
      </c>
      <c r="T12" s="18">
        <f>'Formato 6 c)'!F19</f>
        <v>17405010.859999999</v>
      </c>
      <c r="U12" s="18">
        <f>'Formato 6 c)'!G19</f>
        <v>87527608.010000005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4496667.22</v>
      </c>
      <c r="Q13" s="18">
        <f>'Formato 6 c)'!C20</f>
        <v>0</v>
      </c>
      <c r="R13" s="18">
        <f>'Formato 6 c)'!D20</f>
        <v>4496667.22</v>
      </c>
      <c r="S13" s="18">
        <f>'Formato 6 c)'!E20</f>
        <v>0</v>
      </c>
      <c r="T13" s="18">
        <f>'Formato 6 c)'!F20</f>
        <v>859378.48</v>
      </c>
      <c r="U13" s="18">
        <f>'Formato 6 c)'!G20</f>
        <v>4496667.22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29435406.98</v>
      </c>
      <c r="Q14" s="18">
        <f>'Formato 6 c)'!C21</f>
        <v>42443088.710000001</v>
      </c>
      <c r="R14" s="18">
        <f>'Formato 6 c)'!D21</f>
        <v>71878495.689999998</v>
      </c>
      <c r="S14" s="18">
        <f>'Formato 6 c)'!E21</f>
        <v>0</v>
      </c>
      <c r="T14" s="18">
        <f>'Formato 6 c)'!F21</f>
        <v>14712456.879999999</v>
      </c>
      <c r="U14" s="18">
        <f>'Formato 6 c)'!G21</f>
        <v>71878495.689999998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1106503.69</v>
      </c>
      <c r="Q15" s="18">
        <f>'Formato 6 c)'!C22</f>
        <v>90000</v>
      </c>
      <c r="R15" s="18">
        <f>'Formato 6 c)'!D22</f>
        <v>1196503.69</v>
      </c>
      <c r="S15" s="18">
        <f>'Formato 6 c)'!E22</f>
        <v>0</v>
      </c>
      <c r="T15" s="18">
        <f>'Formato 6 c)'!F22</f>
        <v>129570.2</v>
      </c>
      <c r="U15" s="18">
        <f>'Formato 6 c)'!G22</f>
        <v>1196503.69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6029344.7200000007</v>
      </c>
      <c r="Q16" s="18">
        <f>'Formato 6 c)'!C23</f>
        <v>293494.71000000002</v>
      </c>
      <c r="R16" s="18">
        <f>'Formato 6 c)'!D23</f>
        <v>6322839.4299999997</v>
      </c>
      <c r="S16" s="18">
        <f>'Formato 6 c)'!E23</f>
        <v>0</v>
      </c>
      <c r="T16" s="18">
        <f>'Formato 6 c)'!F23</f>
        <v>977451.77</v>
      </c>
      <c r="U16" s="18">
        <f>'Formato 6 c)'!G23</f>
        <v>6322839.4299999997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4065493.77</v>
      </c>
      <c r="Q17" s="18">
        <f>'Formato 6 c)'!C24</f>
        <v>-432391.79</v>
      </c>
      <c r="R17" s="18">
        <f>'Formato 6 c)'!D24</f>
        <v>3633101.98</v>
      </c>
      <c r="S17" s="18">
        <f>'Formato 6 c)'!E24</f>
        <v>0</v>
      </c>
      <c r="T17" s="18">
        <f>'Formato 6 c)'!F24</f>
        <v>726153.53</v>
      </c>
      <c r="U17" s="18">
        <f>'Formato 6 c)'!G24</f>
        <v>3633101.98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11763412.789999999</v>
      </c>
      <c r="Q20" s="18">
        <f>'Formato 6 c)'!C27</f>
        <v>-3491016.63</v>
      </c>
      <c r="R20" s="18">
        <f>'Formato 6 c)'!D27</f>
        <v>8272396.1600000001</v>
      </c>
      <c r="S20" s="18">
        <f>'Formato 6 c)'!E27</f>
        <v>14498.18</v>
      </c>
      <c r="T20" s="18">
        <f>'Formato 6 c)'!F27</f>
        <v>1151471.23</v>
      </c>
      <c r="U20" s="18">
        <f>'Formato 6 c)'!G27</f>
        <v>8257897.9800000004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11763412.789999999</v>
      </c>
      <c r="Q21" s="18">
        <f>'Formato 6 c)'!C28</f>
        <v>-3491016.63</v>
      </c>
      <c r="R21" s="18">
        <f>'Formato 6 c)'!D28</f>
        <v>8272396.1600000001</v>
      </c>
      <c r="S21" s="18">
        <f>'Formato 6 c)'!E28</f>
        <v>14498.18</v>
      </c>
      <c r="T21" s="18">
        <f>'Formato 6 c)'!F28</f>
        <v>1151471.23</v>
      </c>
      <c r="U21" s="18">
        <f>'Formato 6 c)'!G28</f>
        <v>8257897.9800000004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243988530.85000002</v>
      </c>
      <c r="Q35" s="18">
        <f>'Formato 6 c)'!C43</f>
        <v>17258692.579999998</v>
      </c>
      <c r="R35" s="18">
        <f>'Formato 6 c)'!D43</f>
        <v>261247223.43000001</v>
      </c>
      <c r="S35" s="18">
        <f>'Formato 6 c)'!E43</f>
        <v>2354539.84</v>
      </c>
      <c r="T35" s="18">
        <f>'Formato 6 c)'!F43</f>
        <v>51984791.130000003</v>
      </c>
      <c r="U35" s="18">
        <f>'Formato 6 c)'!G43</f>
        <v>258892683.58999997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37526063.990000002</v>
      </c>
      <c r="Q36" s="18">
        <f>'Formato 6 c)'!C44</f>
        <v>0</v>
      </c>
      <c r="R36" s="18">
        <f>'Formato 6 c)'!D44</f>
        <v>37526063.990000002</v>
      </c>
      <c r="S36" s="18">
        <f>'Formato 6 c)'!E44</f>
        <v>1830505.32</v>
      </c>
      <c r="T36" s="18">
        <f>'Formato 6 c)'!F44</f>
        <v>6676573.7199999997</v>
      </c>
      <c r="U36" s="18">
        <f>'Formato 6 c)'!G44</f>
        <v>35695558.670000002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21526063.990000002</v>
      </c>
      <c r="Q39" s="18">
        <f>'Formato 6 c)'!C47</f>
        <v>0</v>
      </c>
      <c r="R39" s="18">
        <f>'Formato 6 c)'!D47</f>
        <v>21526063.990000002</v>
      </c>
      <c r="S39" s="18">
        <f>'Formato 6 c)'!E47</f>
        <v>1719361.04</v>
      </c>
      <c r="T39" s="18">
        <f>'Formato 6 c)'!F47</f>
        <v>4635509.13</v>
      </c>
      <c r="U39" s="18">
        <f>'Formato 6 c)'!G47</f>
        <v>19806702.950000003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16000000</v>
      </c>
      <c r="Q43" s="18">
        <f>'Formato 6 c)'!C51</f>
        <v>0</v>
      </c>
      <c r="R43" s="18">
        <f>'Formato 6 c)'!D51</f>
        <v>16000000</v>
      </c>
      <c r="S43" s="18">
        <f>'Formato 6 c)'!E51</f>
        <v>111144.28</v>
      </c>
      <c r="T43" s="18">
        <f>'Formato 6 c)'!F51</f>
        <v>2041064.5899999999</v>
      </c>
      <c r="U43" s="18">
        <f>'Formato 6 c)'!G51</f>
        <v>15888855.720000001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206462466.86000001</v>
      </c>
      <c r="Q45" s="18">
        <f>'Formato 6 c)'!C53</f>
        <v>17258692.579999998</v>
      </c>
      <c r="R45" s="18">
        <f>'Formato 6 c)'!D53</f>
        <v>223721159.44</v>
      </c>
      <c r="S45" s="18">
        <f>'Formato 6 c)'!E53</f>
        <v>524034.51999999996</v>
      </c>
      <c r="T45" s="18">
        <f>'Formato 6 c)'!F53</f>
        <v>45308217.410000004</v>
      </c>
      <c r="U45" s="18">
        <f>'Formato 6 c)'!G53</f>
        <v>223197124.91999999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780466</v>
      </c>
      <c r="Q46" s="18">
        <f>'Formato 6 c)'!C54</f>
        <v>0</v>
      </c>
      <c r="R46" s="18">
        <f>'Formato 6 c)'!D54</f>
        <v>780466</v>
      </c>
      <c r="S46" s="18">
        <f>'Formato 6 c)'!E54</f>
        <v>22091.55</v>
      </c>
      <c r="T46" s="18">
        <f>'Formato 6 c)'!F54</f>
        <v>268200.86</v>
      </c>
      <c r="U46" s="18">
        <f>'Formato 6 c)'!G54</f>
        <v>758374.45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204182000.86000001</v>
      </c>
      <c r="Q47" s="18">
        <f>'Formato 6 c)'!C55</f>
        <v>17258692.579999998</v>
      </c>
      <c r="R47" s="18">
        <f>'Formato 6 c)'!D55</f>
        <v>221440693.44</v>
      </c>
      <c r="S47" s="18">
        <f>'Formato 6 c)'!E55</f>
        <v>501942.97</v>
      </c>
      <c r="T47" s="18">
        <f>'Formato 6 c)'!F55</f>
        <v>44944616.550000004</v>
      </c>
      <c r="U47" s="18">
        <f>'Formato 6 c)'!G55</f>
        <v>220938750.47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0</v>
      </c>
      <c r="R50" s="18">
        <f>'Formato 6 c)'!D58</f>
        <v>1500000</v>
      </c>
      <c r="S50" s="18">
        <f>'Formato 6 c)'!E58</f>
        <v>0</v>
      </c>
      <c r="T50" s="18">
        <f>'Formato 6 c)'!F58</f>
        <v>95400</v>
      </c>
      <c r="U50" s="18">
        <f>'Formato 6 c)'!G58</f>
        <v>1500000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409525339.18000001</v>
      </c>
      <c r="Q68" s="18">
        <f>'Formato 6 c)'!C77</f>
        <v>59619958.079999998</v>
      </c>
      <c r="R68" s="18">
        <f>'Formato 6 c)'!D77</f>
        <v>469145297.25999999</v>
      </c>
      <c r="S68" s="18">
        <f>'Formato 6 c)'!E77</f>
        <v>2471952.19</v>
      </c>
      <c r="T68" s="18">
        <f>'Formato 6 c)'!F77</f>
        <v>90171799.659999996</v>
      </c>
      <c r="U68" s="18">
        <f>'Formato 6 c)'!G77</f>
        <v>466673345.06999993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1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25" x14ac:dyDescent="0.4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="90" zoomScaleNormal="90" workbookViewId="0">
      <selection activeCell="B10" sqref="B10:F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30 de marzo de 2021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122746115.00000003</v>
      </c>
      <c r="C9" s="66">
        <f t="shared" ref="C9:F9" si="0">SUM(C10,C11,C12,C15,C16,C19)</f>
        <v>6</v>
      </c>
      <c r="D9" s="66">
        <f t="shared" si="0"/>
        <v>122746127</v>
      </c>
      <c r="E9" s="66">
        <f t="shared" si="0"/>
        <v>6</v>
      </c>
      <c r="F9" s="66">
        <f t="shared" si="0"/>
        <v>24738520.57</v>
      </c>
      <c r="G9" s="66">
        <f>SUM(G10,G11,G12,G15,G16,G19)</f>
        <v>122746121</v>
      </c>
    </row>
    <row r="10" spans="1:7" x14ac:dyDescent="0.25">
      <c r="A10" s="53" t="s">
        <v>401</v>
      </c>
      <c r="B10" s="67">
        <v>82043007.380000025</v>
      </c>
      <c r="C10" s="67">
        <v>-1575534.48</v>
      </c>
      <c r="D10" s="67">
        <v>80467472.900000006</v>
      </c>
      <c r="E10" s="67">
        <v>0</v>
      </c>
      <c r="F10" s="67">
        <v>16821190.5</v>
      </c>
      <c r="G10" s="67">
        <f>D10-E10</f>
        <v>80467472.900000006</v>
      </c>
    </row>
    <row r="11" spans="1:7" ht="14.25" x14ac:dyDescent="0.45">
      <c r="A11" s="53" t="s">
        <v>402</v>
      </c>
      <c r="B11" s="67">
        <v>1</v>
      </c>
      <c r="C11" s="67">
        <v>1</v>
      </c>
      <c r="D11" s="67">
        <v>3</v>
      </c>
      <c r="E11" s="67">
        <v>1</v>
      </c>
      <c r="F11" s="67">
        <v>1</v>
      </c>
      <c r="G11" s="67">
        <f>D11-E11</f>
        <v>2</v>
      </c>
    </row>
    <row r="12" spans="1:7" ht="14.25" x14ac:dyDescent="0.45">
      <c r="A12" s="53" t="s">
        <v>403</v>
      </c>
      <c r="B12" s="67">
        <f>B13+B14</f>
        <v>2</v>
      </c>
      <c r="C12" s="67">
        <f t="shared" ref="C12:F12" si="1">C13+C14</f>
        <v>2</v>
      </c>
      <c r="D12" s="67">
        <f t="shared" si="1"/>
        <v>6</v>
      </c>
      <c r="E12" s="67">
        <f t="shared" si="1"/>
        <v>2</v>
      </c>
      <c r="F12" s="67">
        <f t="shared" si="1"/>
        <v>2</v>
      </c>
      <c r="G12" s="67">
        <f>G13+G14</f>
        <v>4</v>
      </c>
    </row>
    <row r="13" spans="1:7" ht="14.25" x14ac:dyDescent="0.45">
      <c r="A13" s="63" t="s">
        <v>404</v>
      </c>
      <c r="B13" s="67">
        <v>1</v>
      </c>
      <c r="C13" s="67">
        <v>1</v>
      </c>
      <c r="D13" s="67">
        <v>3</v>
      </c>
      <c r="E13" s="67">
        <v>1</v>
      </c>
      <c r="F13" s="67">
        <v>1</v>
      </c>
      <c r="G13" s="67">
        <f>D13-E13</f>
        <v>2</v>
      </c>
    </row>
    <row r="14" spans="1:7" x14ac:dyDescent="0.25">
      <c r="A14" s="63" t="s">
        <v>405</v>
      </c>
      <c r="B14" s="67">
        <v>1</v>
      </c>
      <c r="C14" s="67">
        <v>1</v>
      </c>
      <c r="D14" s="67">
        <v>3</v>
      </c>
      <c r="E14" s="67">
        <v>1</v>
      </c>
      <c r="F14" s="67">
        <v>1</v>
      </c>
      <c r="G14" s="67">
        <f t="shared" ref="G14:G15" si="2">D14-E14</f>
        <v>2</v>
      </c>
    </row>
    <row r="15" spans="1:7" x14ac:dyDescent="0.25">
      <c r="A15" s="53" t="s">
        <v>406</v>
      </c>
      <c r="B15" s="67">
        <v>40703101.619999997</v>
      </c>
      <c r="C15" s="67">
        <v>1575534.48</v>
      </c>
      <c r="D15" s="67">
        <v>42278636.100000001</v>
      </c>
      <c r="E15" s="67">
        <v>0</v>
      </c>
      <c r="F15" s="67">
        <v>7917324.0700000003</v>
      </c>
      <c r="G15" s="67">
        <f t="shared" si="2"/>
        <v>42278636.100000001</v>
      </c>
    </row>
    <row r="16" spans="1:7" x14ac:dyDescent="0.25">
      <c r="A16" s="64" t="s">
        <v>407</v>
      </c>
      <c r="B16" s="67">
        <f>B17+B18</f>
        <v>2</v>
      </c>
      <c r="C16" s="67">
        <f t="shared" ref="C16:G16" si="3">C17+C18</f>
        <v>2</v>
      </c>
      <c r="D16" s="67">
        <f t="shared" si="3"/>
        <v>6</v>
      </c>
      <c r="E16" s="67">
        <f t="shared" si="3"/>
        <v>2</v>
      </c>
      <c r="F16" s="67">
        <f t="shared" si="3"/>
        <v>2</v>
      </c>
      <c r="G16" s="67">
        <f t="shared" si="3"/>
        <v>4</v>
      </c>
    </row>
    <row r="17" spans="1:7" ht="14.25" x14ac:dyDescent="0.45">
      <c r="A17" s="63" t="s">
        <v>408</v>
      </c>
      <c r="B17" s="67">
        <v>1</v>
      </c>
      <c r="C17" s="67">
        <v>1</v>
      </c>
      <c r="D17" s="67">
        <v>3</v>
      </c>
      <c r="E17" s="67">
        <v>1</v>
      </c>
      <c r="F17" s="67">
        <v>1</v>
      </c>
      <c r="G17" s="67">
        <f>D17-E17</f>
        <v>2</v>
      </c>
    </row>
    <row r="18" spans="1:7" ht="14.25" x14ac:dyDescent="0.45">
      <c r="A18" s="63" t="s">
        <v>409</v>
      </c>
      <c r="B18" s="67">
        <v>1</v>
      </c>
      <c r="C18" s="67">
        <v>1</v>
      </c>
      <c r="D18" s="67">
        <v>3</v>
      </c>
      <c r="E18" s="67">
        <v>1</v>
      </c>
      <c r="F18" s="67">
        <v>1</v>
      </c>
      <c r="G18" s="67">
        <f>D18-E18</f>
        <v>2</v>
      </c>
    </row>
    <row r="19" spans="1:7" ht="14.25" x14ac:dyDescent="0.45">
      <c r="A19" s="53" t="s">
        <v>410</v>
      </c>
      <c r="B19" s="67">
        <v>1</v>
      </c>
      <c r="C19" s="67">
        <v>1</v>
      </c>
      <c r="D19" s="67">
        <v>3</v>
      </c>
      <c r="E19" s="67">
        <v>1</v>
      </c>
      <c r="F19" s="67">
        <v>1</v>
      </c>
      <c r="G19" s="67">
        <f>D19-E19</f>
        <v>2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8</v>
      </c>
      <c r="C21" s="66">
        <f t="shared" ref="C21:F21" si="4">SUM(C22,C23,C24,C27,C28,C31)</f>
        <v>8</v>
      </c>
      <c r="D21" s="66">
        <f t="shared" si="4"/>
        <v>24</v>
      </c>
      <c r="E21" s="66">
        <f t="shared" si="4"/>
        <v>8</v>
      </c>
      <c r="F21" s="66">
        <f t="shared" si="4"/>
        <v>8</v>
      </c>
      <c r="G21" s="66">
        <f>SUM(G22,G23,G24,G27,G28,G31)</f>
        <v>16</v>
      </c>
    </row>
    <row r="22" spans="1:7" s="24" customFormat="1" x14ac:dyDescent="0.25">
      <c r="A22" s="53" t="s">
        <v>401</v>
      </c>
      <c r="B22" s="67">
        <v>1</v>
      </c>
      <c r="C22" s="67">
        <v>1</v>
      </c>
      <c r="D22" s="67">
        <v>3</v>
      </c>
      <c r="E22" s="67">
        <v>1</v>
      </c>
      <c r="F22" s="67">
        <v>1</v>
      </c>
      <c r="G22" s="67">
        <f>D22-E22</f>
        <v>2</v>
      </c>
    </row>
    <row r="23" spans="1:7" s="24" customFormat="1" x14ac:dyDescent="0.25">
      <c r="A23" s="53" t="s">
        <v>402</v>
      </c>
      <c r="B23" s="67">
        <v>1</v>
      </c>
      <c r="C23" s="67">
        <v>1</v>
      </c>
      <c r="D23" s="67">
        <v>3</v>
      </c>
      <c r="E23" s="67">
        <v>1</v>
      </c>
      <c r="F23" s="67">
        <v>1</v>
      </c>
      <c r="G23" s="67">
        <f>D23-E23</f>
        <v>2</v>
      </c>
    </row>
    <row r="24" spans="1:7" s="24" customFormat="1" x14ac:dyDescent="0.25">
      <c r="A24" s="53" t="s">
        <v>403</v>
      </c>
      <c r="B24" s="67">
        <f>B25+B26</f>
        <v>2</v>
      </c>
      <c r="C24" s="67">
        <f t="shared" ref="C24:G24" si="5">C25+C26</f>
        <v>2</v>
      </c>
      <c r="D24" s="67">
        <f t="shared" si="5"/>
        <v>6</v>
      </c>
      <c r="E24" s="67">
        <f t="shared" si="5"/>
        <v>2</v>
      </c>
      <c r="F24" s="67">
        <f t="shared" si="5"/>
        <v>2</v>
      </c>
      <c r="G24" s="67">
        <f t="shared" si="5"/>
        <v>4</v>
      </c>
    </row>
    <row r="25" spans="1:7" s="24" customFormat="1" x14ac:dyDescent="0.25">
      <c r="A25" s="63" t="s">
        <v>404</v>
      </c>
      <c r="B25" s="67">
        <v>1</v>
      </c>
      <c r="C25" s="67">
        <v>1</v>
      </c>
      <c r="D25" s="67">
        <v>3</v>
      </c>
      <c r="E25" s="67">
        <v>1</v>
      </c>
      <c r="F25" s="67">
        <v>1</v>
      </c>
      <c r="G25" s="67">
        <f>D25-E25</f>
        <v>2</v>
      </c>
    </row>
    <row r="26" spans="1:7" s="24" customFormat="1" x14ac:dyDescent="0.25">
      <c r="A26" s="63" t="s">
        <v>405</v>
      </c>
      <c r="B26" s="67">
        <v>1</v>
      </c>
      <c r="C26" s="67">
        <v>1</v>
      </c>
      <c r="D26" s="67">
        <v>3</v>
      </c>
      <c r="E26" s="67">
        <v>1</v>
      </c>
      <c r="F26" s="67">
        <v>1</v>
      </c>
      <c r="G26" s="67">
        <f t="shared" ref="G26:G27" si="6">D26-E26</f>
        <v>2</v>
      </c>
    </row>
    <row r="27" spans="1:7" s="24" customFormat="1" x14ac:dyDescent="0.25">
      <c r="A27" s="53" t="s">
        <v>406</v>
      </c>
      <c r="B27" s="67">
        <v>1</v>
      </c>
      <c r="C27" s="67">
        <v>1</v>
      </c>
      <c r="D27" s="67">
        <v>3</v>
      </c>
      <c r="E27" s="67">
        <v>1</v>
      </c>
      <c r="F27" s="67">
        <v>1</v>
      </c>
      <c r="G27" s="67">
        <f t="shared" si="6"/>
        <v>2</v>
      </c>
    </row>
    <row r="28" spans="1:7" s="24" customFormat="1" x14ac:dyDescent="0.25">
      <c r="A28" s="64" t="s">
        <v>407</v>
      </c>
      <c r="B28" s="67">
        <f>B29+B30</f>
        <v>2</v>
      </c>
      <c r="C28" s="67">
        <f t="shared" ref="C28:G28" si="7">C29+C30</f>
        <v>2</v>
      </c>
      <c r="D28" s="67">
        <f t="shared" si="7"/>
        <v>6</v>
      </c>
      <c r="E28" s="67">
        <f t="shared" si="7"/>
        <v>2</v>
      </c>
      <c r="F28" s="67">
        <f t="shared" si="7"/>
        <v>2</v>
      </c>
      <c r="G28" s="67">
        <f t="shared" si="7"/>
        <v>4</v>
      </c>
    </row>
    <row r="29" spans="1:7" s="24" customFormat="1" x14ac:dyDescent="0.25">
      <c r="A29" s="63" t="s">
        <v>408</v>
      </c>
      <c r="B29" s="67">
        <v>1</v>
      </c>
      <c r="C29" s="67">
        <v>1</v>
      </c>
      <c r="D29" s="67">
        <v>3</v>
      </c>
      <c r="E29" s="67">
        <v>1</v>
      </c>
      <c r="F29" s="67">
        <v>1</v>
      </c>
      <c r="G29" s="67">
        <f>D29-E29</f>
        <v>2</v>
      </c>
    </row>
    <row r="30" spans="1:7" s="24" customFormat="1" x14ac:dyDescent="0.25">
      <c r="A30" s="63" t="s">
        <v>409</v>
      </c>
      <c r="B30" s="67">
        <v>1</v>
      </c>
      <c r="C30" s="67">
        <v>1</v>
      </c>
      <c r="D30" s="67">
        <v>3</v>
      </c>
      <c r="E30" s="67">
        <v>1</v>
      </c>
      <c r="F30" s="67">
        <v>1</v>
      </c>
      <c r="G30" s="67">
        <f t="shared" ref="G30:G31" si="8">D30-E30</f>
        <v>2</v>
      </c>
    </row>
    <row r="31" spans="1:7" s="24" customFormat="1" x14ac:dyDescent="0.25">
      <c r="A31" s="53" t="s">
        <v>410</v>
      </c>
      <c r="B31" s="67">
        <v>1</v>
      </c>
      <c r="C31" s="67">
        <v>1</v>
      </c>
      <c r="D31" s="67">
        <v>3</v>
      </c>
      <c r="E31" s="67">
        <v>1</v>
      </c>
      <c r="F31" s="67">
        <v>1</v>
      </c>
      <c r="G31" s="67">
        <f t="shared" si="8"/>
        <v>2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122746123.00000003</v>
      </c>
      <c r="C33" s="66">
        <f t="shared" ref="C33:G33" si="9">C21+C9</f>
        <v>14</v>
      </c>
      <c r="D33" s="66">
        <f t="shared" si="9"/>
        <v>122746151</v>
      </c>
      <c r="E33" s="66">
        <f t="shared" si="9"/>
        <v>14</v>
      </c>
      <c r="F33" s="66">
        <f t="shared" si="9"/>
        <v>24738528.57</v>
      </c>
      <c r="G33" s="66">
        <f t="shared" si="9"/>
        <v>122746137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122746115.00000003</v>
      </c>
      <c r="Q2" s="18">
        <f>'Formato 6 d)'!C9</f>
        <v>6</v>
      </c>
      <c r="R2" s="18">
        <f>'Formato 6 d)'!D9</f>
        <v>122746127</v>
      </c>
      <c r="S2" s="18">
        <f>'Formato 6 d)'!E9</f>
        <v>6</v>
      </c>
      <c r="T2" s="18">
        <f>'Formato 6 d)'!F9</f>
        <v>24738520.57</v>
      </c>
      <c r="U2" s="18">
        <f>'Formato 6 d)'!G9</f>
        <v>122746121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82043007.380000025</v>
      </c>
      <c r="Q3" s="18">
        <f>'Formato 6 d)'!C10</f>
        <v>-1575534.48</v>
      </c>
      <c r="R3" s="18">
        <f>'Formato 6 d)'!D10</f>
        <v>80467472.900000006</v>
      </c>
      <c r="S3" s="18">
        <f>'Formato 6 d)'!E10</f>
        <v>0</v>
      </c>
      <c r="T3" s="18">
        <f>'Formato 6 d)'!F10</f>
        <v>16821190.5</v>
      </c>
      <c r="U3" s="18">
        <f>'Formato 6 d)'!G10</f>
        <v>80467472.900000006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1</v>
      </c>
      <c r="Q4" s="18">
        <f>'Formato 6 d)'!C11</f>
        <v>1</v>
      </c>
      <c r="R4" s="18">
        <f>'Formato 6 d)'!D11</f>
        <v>3</v>
      </c>
      <c r="S4" s="18">
        <f>'Formato 6 d)'!E11</f>
        <v>1</v>
      </c>
      <c r="T4" s="18">
        <f>'Formato 6 d)'!F11</f>
        <v>1</v>
      </c>
      <c r="U4" s="18">
        <f>'Formato 6 d)'!G11</f>
        <v>2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2</v>
      </c>
      <c r="Q5" s="18">
        <f>'Formato 6 d)'!C12</f>
        <v>2</v>
      </c>
      <c r="R5" s="18">
        <f>'Formato 6 d)'!D12</f>
        <v>6</v>
      </c>
      <c r="S5" s="18">
        <f>'Formato 6 d)'!E12</f>
        <v>2</v>
      </c>
      <c r="T5" s="18">
        <f>'Formato 6 d)'!F12</f>
        <v>2</v>
      </c>
      <c r="U5" s="18">
        <f>'Formato 6 d)'!G12</f>
        <v>4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1</v>
      </c>
      <c r="Q6" s="18">
        <f>'Formato 6 d)'!C13</f>
        <v>1</v>
      </c>
      <c r="R6" s="18">
        <f>'Formato 6 d)'!D13</f>
        <v>3</v>
      </c>
      <c r="S6" s="18">
        <f>'Formato 6 d)'!E13</f>
        <v>1</v>
      </c>
      <c r="T6" s="18">
        <f>'Formato 6 d)'!F13</f>
        <v>1</v>
      </c>
      <c r="U6" s="18">
        <f>'Formato 6 d)'!G13</f>
        <v>2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1</v>
      </c>
      <c r="Q7" s="18">
        <f>'Formato 6 d)'!C14</f>
        <v>1</v>
      </c>
      <c r="R7" s="18">
        <f>'Formato 6 d)'!D14</f>
        <v>3</v>
      </c>
      <c r="S7" s="18">
        <f>'Formato 6 d)'!E14</f>
        <v>1</v>
      </c>
      <c r="T7" s="18">
        <f>'Formato 6 d)'!F14</f>
        <v>1</v>
      </c>
      <c r="U7" s="18">
        <f>'Formato 6 d)'!G14</f>
        <v>2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40703101.619999997</v>
      </c>
      <c r="Q8" s="18">
        <f>'Formato 6 d)'!C15</f>
        <v>1575534.48</v>
      </c>
      <c r="R8" s="18">
        <f>'Formato 6 d)'!D15</f>
        <v>42278636.100000001</v>
      </c>
      <c r="S8" s="18">
        <f>'Formato 6 d)'!E15</f>
        <v>0</v>
      </c>
      <c r="T8" s="18">
        <f>'Formato 6 d)'!F15</f>
        <v>7917324.0700000003</v>
      </c>
      <c r="U8" s="18">
        <f>'Formato 6 d)'!G15</f>
        <v>42278636.100000001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2</v>
      </c>
      <c r="Q9" s="18">
        <f>'Formato 6 d)'!C16</f>
        <v>2</v>
      </c>
      <c r="R9" s="18">
        <f>'Formato 6 d)'!D16</f>
        <v>6</v>
      </c>
      <c r="S9" s="18">
        <f>'Formato 6 d)'!E16</f>
        <v>2</v>
      </c>
      <c r="T9" s="18">
        <f>'Formato 6 d)'!F16</f>
        <v>2</v>
      </c>
      <c r="U9" s="18">
        <f>'Formato 6 d)'!G16</f>
        <v>4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1</v>
      </c>
      <c r="Q10" s="18">
        <f>'Formato 6 d)'!C17</f>
        <v>1</v>
      </c>
      <c r="R10" s="18">
        <f>'Formato 6 d)'!D17</f>
        <v>3</v>
      </c>
      <c r="S10" s="18">
        <f>'Formato 6 d)'!E17</f>
        <v>1</v>
      </c>
      <c r="T10" s="18">
        <f>'Formato 6 d)'!F17</f>
        <v>1</v>
      </c>
      <c r="U10" s="18">
        <f>'Formato 6 d)'!G17</f>
        <v>2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1</v>
      </c>
      <c r="Q11" s="18">
        <f>'Formato 6 d)'!C18</f>
        <v>1</v>
      </c>
      <c r="R11" s="18">
        <f>'Formato 6 d)'!D18</f>
        <v>3</v>
      </c>
      <c r="S11" s="18">
        <f>'Formato 6 d)'!E18</f>
        <v>1</v>
      </c>
      <c r="T11" s="18">
        <f>'Formato 6 d)'!F18</f>
        <v>1</v>
      </c>
      <c r="U11" s="18">
        <f>'Formato 6 d)'!G18</f>
        <v>2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1</v>
      </c>
      <c r="Q12" s="18">
        <f>'Formato 6 d)'!C19</f>
        <v>1</v>
      </c>
      <c r="R12" s="18">
        <f>'Formato 6 d)'!D19</f>
        <v>3</v>
      </c>
      <c r="S12" s="18">
        <f>'Formato 6 d)'!E19</f>
        <v>1</v>
      </c>
      <c r="T12" s="18">
        <f>'Formato 6 d)'!F19</f>
        <v>1</v>
      </c>
      <c r="U12" s="18">
        <f>'Formato 6 d)'!G19</f>
        <v>2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8</v>
      </c>
      <c r="Q13" s="18">
        <f>'Formato 6 d)'!C21</f>
        <v>8</v>
      </c>
      <c r="R13" s="18">
        <f>'Formato 6 d)'!D21</f>
        <v>24</v>
      </c>
      <c r="S13" s="18">
        <f>'Formato 6 d)'!E21</f>
        <v>8</v>
      </c>
      <c r="T13" s="18">
        <f>'Formato 6 d)'!F21</f>
        <v>8</v>
      </c>
      <c r="U13" s="18">
        <f>'Formato 6 d)'!G21</f>
        <v>16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1</v>
      </c>
      <c r="Q14" s="18">
        <f>'Formato 6 d)'!C22</f>
        <v>1</v>
      </c>
      <c r="R14" s="18">
        <f>'Formato 6 d)'!D22</f>
        <v>3</v>
      </c>
      <c r="S14" s="18">
        <f>'Formato 6 d)'!E22</f>
        <v>1</v>
      </c>
      <c r="T14" s="18">
        <f>'Formato 6 d)'!F22</f>
        <v>1</v>
      </c>
      <c r="U14" s="18">
        <f>'Formato 6 d)'!G22</f>
        <v>2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1</v>
      </c>
      <c r="Q15" s="18">
        <f>'Formato 6 d)'!C23</f>
        <v>1</v>
      </c>
      <c r="R15" s="18">
        <f>'Formato 6 d)'!D23</f>
        <v>3</v>
      </c>
      <c r="S15" s="18">
        <f>'Formato 6 d)'!E23</f>
        <v>1</v>
      </c>
      <c r="T15" s="18">
        <f>'Formato 6 d)'!F23</f>
        <v>1</v>
      </c>
      <c r="U15" s="18">
        <f>'Formato 6 d)'!G23</f>
        <v>2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2</v>
      </c>
      <c r="Q16" s="18">
        <f>'Formato 6 d)'!C24</f>
        <v>2</v>
      </c>
      <c r="R16" s="18">
        <f>'Formato 6 d)'!D24</f>
        <v>6</v>
      </c>
      <c r="S16" s="18">
        <f>'Formato 6 d)'!E24</f>
        <v>2</v>
      </c>
      <c r="T16" s="18">
        <f>'Formato 6 d)'!F24</f>
        <v>2</v>
      </c>
      <c r="U16" s="18">
        <f>'Formato 6 d)'!G24</f>
        <v>4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1</v>
      </c>
      <c r="Q17" s="18">
        <f>'Formato 6 d)'!C25</f>
        <v>1</v>
      </c>
      <c r="R17" s="18">
        <f>'Formato 6 d)'!D25</f>
        <v>3</v>
      </c>
      <c r="S17" s="18">
        <f>'Formato 6 d)'!E25</f>
        <v>1</v>
      </c>
      <c r="T17" s="18">
        <f>'Formato 6 d)'!F25</f>
        <v>1</v>
      </c>
      <c r="U17" s="18">
        <f>'Formato 6 d)'!G25</f>
        <v>2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1</v>
      </c>
      <c r="Q18" s="18">
        <f>'Formato 6 d)'!C26</f>
        <v>1</v>
      </c>
      <c r="R18" s="18">
        <f>'Formato 6 d)'!D26</f>
        <v>3</v>
      </c>
      <c r="S18" s="18">
        <f>'Formato 6 d)'!E26</f>
        <v>1</v>
      </c>
      <c r="T18" s="18">
        <f>'Formato 6 d)'!F26</f>
        <v>1</v>
      </c>
      <c r="U18" s="18">
        <f>'Formato 6 d)'!G26</f>
        <v>2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1</v>
      </c>
      <c r="Q19" s="18">
        <f>'Formato 6 d)'!C27</f>
        <v>1</v>
      </c>
      <c r="R19" s="18">
        <f>'Formato 6 d)'!D27</f>
        <v>3</v>
      </c>
      <c r="S19" s="18">
        <f>'Formato 6 d)'!E27</f>
        <v>1</v>
      </c>
      <c r="T19" s="18">
        <f>'Formato 6 d)'!F27</f>
        <v>1</v>
      </c>
      <c r="U19" s="18">
        <f>'Formato 6 d)'!G27</f>
        <v>2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2</v>
      </c>
      <c r="Q20" s="18">
        <f>'Formato 6 d)'!C28</f>
        <v>2</v>
      </c>
      <c r="R20" s="18">
        <f>'Formato 6 d)'!D28</f>
        <v>6</v>
      </c>
      <c r="S20" s="18">
        <f>'Formato 6 d)'!E28</f>
        <v>2</v>
      </c>
      <c r="T20" s="18">
        <f>'Formato 6 d)'!F28</f>
        <v>2</v>
      </c>
      <c r="U20" s="18">
        <f>'Formato 6 d)'!G28</f>
        <v>4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1</v>
      </c>
      <c r="Q21" s="18">
        <f>'Formato 6 d)'!C29</f>
        <v>1</v>
      </c>
      <c r="R21" s="18">
        <f>'Formato 6 d)'!D29</f>
        <v>3</v>
      </c>
      <c r="S21" s="18">
        <f>'Formato 6 d)'!E29</f>
        <v>1</v>
      </c>
      <c r="T21" s="18">
        <f>'Formato 6 d)'!F29</f>
        <v>1</v>
      </c>
      <c r="U21" s="18">
        <f>'Formato 6 d)'!G29</f>
        <v>2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1</v>
      </c>
      <c r="Q22" s="18">
        <f>'Formato 6 d)'!C30</f>
        <v>1</v>
      </c>
      <c r="R22" s="18">
        <f>'Formato 6 d)'!D30</f>
        <v>3</v>
      </c>
      <c r="S22" s="18">
        <f>'Formato 6 d)'!E30</f>
        <v>1</v>
      </c>
      <c r="T22" s="18">
        <f>'Formato 6 d)'!F30</f>
        <v>1</v>
      </c>
      <c r="U22" s="18">
        <f>'Formato 6 d)'!G30</f>
        <v>2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1</v>
      </c>
      <c r="Q23" s="18">
        <f>'Formato 6 d)'!C31</f>
        <v>1</v>
      </c>
      <c r="R23" s="18">
        <f>'Formato 6 d)'!D31</f>
        <v>3</v>
      </c>
      <c r="S23" s="18">
        <f>'Formato 6 d)'!E31</f>
        <v>1</v>
      </c>
      <c r="T23" s="18">
        <f>'Formato 6 d)'!F31</f>
        <v>1</v>
      </c>
      <c r="U23" s="18">
        <f>'Formato 6 d)'!G31</f>
        <v>2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122746123.00000003</v>
      </c>
      <c r="Q24" s="18">
        <f>'Formato 6 d)'!C33</f>
        <v>14</v>
      </c>
      <c r="R24" s="18">
        <f>'Formato 6 d)'!D33</f>
        <v>122746151</v>
      </c>
      <c r="S24" s="18">
        <f>'Formato 6 d)'!E33</f>
        <v>14</v>
      </c>
      <c r="T24" s="18">
        <f>'Formato 6 d)'!F33</f>
        <v>24738528.57</v>
      </c>
      <c r="U24" s="18">
        <f>'Formato 6 d)'!G33</f>
        <v>122746137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2022</v>
      </c>
      <c r="C6" s="181" t="str">
        <f>ANIO2P</f>
        <v>2023 (d)</v>
      </c>
      <c r="D6" s="181" t="str">
        <f>ANIO3P</f>
        <v>2024 (d)</v>
      </c>
      <c r="E6" s="181" t="str">
        <f>ANIO4P</f>
        <v>2025 (d)</v>
      </c>
      <c r="F6" s="181" t="str">
        <f>ANIO5P</f>
        <v>2026 (d)</v>
      </c>
      <c r="G6" s="181" t="str">
        <f>ANIO6P</f>
        <v>2027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2016 ¹ (c)</v>
      </c>
      <c r="C5" s="186" t="str">
        <f>ANIO4R</f>
        <v>2017 ¹ (c)</v>
      </c>
      <c r="D5" s="186" t="str">
        <f>ANIO3R</f>
        <v>2018 ¹ (c)</v>
      </c>
      <c r="E5" s="186" t="str">
        <f>ANIO2R</f>
        <v>2019 ¹ (c)</v>
      </c>
      <c r="F5" s="186" t="str">
        <f>ANIO1R</f>
        <v>2020 ¹ (c)</v>
      </c>
      <c r="G5" s="51">
        <f>ANIO_INFORME</f>
        <v>2021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topLeftCell="D64" zoomScale="90" zoomScaleNormal="90" workbookViewId="0">
      <selection activeCell="E76" sqref="E76:F7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2020 y al 30 de marzo de 2021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105807737.67999999</v>
      </c>
      <c r="C9" s="60">
        <f>SUM(C10:C16)</f>
        <v>74274113.620000005</v>
      </c>
      <c r="D9" s="100" t="s">
        <v>54</v>
      </c>
      <c r="E9" s="60">
        <f>SUM(E10:E18)</f>
        <v>3189868.05</v>
      </c>
      <c r="F9" s="60">
        <f>SUM(F10:F18)</f>
        <v>7553635.5300000012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-3463.35</v>
      </c>
      <c r="F10" s="60">
        <v>1602469.38</v>
      </c>
    </row>
    <row r="11" spans="1:6" x14ac:dyDescent="0.25">
      <c r="A11" s="96" t="s">
        <v>5</v>
      </c>
      <c r="B11" s="60">
        <v>44861942.469999999</v>
      </c>
      <c r="C11" s="60">
        <v>67028185.759999998</v>
      </c>
      <c r="D11" s="101" t="s">
        <v>56</v>
      </c>
      <c r="E11" s="60">
        <v>1883164.13</v>
      </c>
      <c r="F11" s="60">
        <v>1150317.7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738.5</v>
      </c>
      <c r="F12" s="60">
        <v>239773.61</v>
      </c>
    </row>
    <row r="13" spans="1:6" x14ac:dyDescent="0.25">
      <c r="A13" s="96" t="s">
        <v>7</v>
      </c>
      <c r="B13" s="60">
        <v>51576553.259999998</v>
      </c>
      <c r="C13" s="60">
        <v>0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9369241.9499999993</v>
      </c>
      <c r="C14" s="60">
        <v>7245927.8600000003</v>
      </c>
      <c r="D14" s="101" t="s">
        <v>59</v>
      </c>
      <c r="E14" s="60">
        <v>2552</v>
      </c>
      <c r="F14" s="60">
        <v>275206.76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1198395.6200000001</v>
      </c>
      <c r="F16" s="60">
        <v>1952218.35</v>
      </c>
    </row>
    <row r="17" spans="1:6" x14ac:dyDescent="0.25">
      <c r="A17" s="95" t="s">
        <v>11</v>
      </c>
      <c r="B17" s="60">
        <f>SUM(B18:B24)</f>
        <v>4659266.9300000006</v>
      </c>
      <c r="C17" s="60">
        <f>SUM(C18:C24)</f>
        <v>4403448.3600000003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108481.15</v>
      </c>
      <c r="F18" s="60">
        <v>2333649.73</v>
      </c>
    </row>
    <row r="19" spans="1:6" x14ac:dyDescent="0.25">
      <c r="A19" s="97" t="s">
        <v>13</v>
      </c>
      <c r="B19" s="60">
        <v>13252.33</v>
      </c>
      <c r="C19" s="60">
        <v>22659.74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4283080.2</v>
      </c>
      <c r="C20" s="60">
        <v>4034845.9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10000</v>
      </c>
      <c r="C22" s="60">
        <v>6294.73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352934.40000000002</v>
      </c>
      <c r="C24" s="60">
        <v>339647.99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21804226.239999998</v>
      </c>
      <c r="C25" s="60">
        <f>SUM(C26:C30)</f>
        <v>27033293.139999997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884133.48</v>
      </c>
      <c r="C26" s="60">
        <v>971133.48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19681101.68</v>
      </c>
      <c r="C29" s="60">
        <v>24823168.579999998</v>
      </c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132271230.84999999</v>
      </c>
      <c r="C47" s="61">
        <f>C9+C17+C25+C31+C38+C41</f>
        <v>105710855.12</v>
      </c>
      <c r="D47" s="99" t="s">
        <v>91</v>
      </c>
      <c r="E47" s="61">
        <f>E9+E19+E23+E26+E27+E31+E38+E42</f>
        <v>3189868.05</v>
      </c>
      <c r="F47" s="61">
        <f>F9+F19+F23+F26+F27+F31+F38+F42</f>
        <v>7553635.5300000012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624136000.09000003</v>
      </c>
      <c r="C52" s="60">
        <v>582042886.11000001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75370278.769999996</v>
      </c>
      <c r="C53" s="60">
        <v>75212184.269999996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1599396.83</v>
      </c>
      <c r="C54" s="60">
        <v>1599396.83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-56577074.079999998</v>
      </c>
      <c r="C55" s="60">
        <v>-56868361.159999996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3189868.05</v>
      </c>
      <c r="F59" s="61">
        <f>F47+F57</f>
        <v>7553635.5300000012</v>
      </c>
    </row>
    <row r="60" spans="1:6" x14ac:dyDescent="0.25">
      <c r="A60" s="55" t="s">
        <v>50</v>
      </c>
      <c r="B60" s="61">
        <f>SUM(B50:B58)</f>
        <v>644570223.53999996</v>
      </c>
      <c r="C60" s="61">
        <f>SUM(C50:C58)</f>
        <v>602027727.98000002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776841454.38999999</v>
      </c>
      <c r="C62" s="61">
        <f>SUM(C47+C60)</f>
        <v>707738583.10000002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79966082.859999999</v>
      </c>
      <c r="F63" s="77">
        <f>SUM(F64:F66)</f>
        <v>77821459.00999999</v>
      </c>
    </row>
    <row r="64" spans="1:6" x14ac:dyDescent="0.25">
      <c r="A64" s="54"/>
      <c r="B64" s="54"/>
      <c r="C64" s="54"/>
      <c r="D64" s="103" t="s">
        <v>103</v>
      </c>
      <c r="E64" s="77">
        <v>75653380.090000004</v>
      </c>
      <c r="F64" s="77">
        <v>73508756.239999995</v>
      </c>
    </row>
    <row r="65" spans="1:6" x14ac:dyDescent="0.25">
      <c r="A65" s="54"/>
      <c r="B65" s="54"/>
      <c r="C65" s="54"/>
      <c r="D65" s="41" t="s">
        <v>104</v>
      </c>
      <c r="E65" s="77">
        <v>4312702.7699999996</v>
      </c>
      <c r="F65" s="77">
        <v>4312702.7699999996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693685639.42000008</v>
      </c>
      <c r="F68" s="77">
        <f>SUM(F69:F73)</f>
        <v>622363488.55999994</v>
      </c>
    </row>
    <row r="69" spans="1:6" x14ac:dyDescent="0.25">
      <c r="A69" s="12"/>
      <c r="B69" s="54"/>
      <c r="C69" s="54"/>
      <c r="D69" s="103" t="s">
        <v>107</v>
      </c>
      <c r="E69" s="77">
        <v>71323241.819999993</v>
      </c>
      <c r="F69" s="77">
        <v>134397232.93000001</v>
      </c>
    </row>
    <row r="70" spans="1:6" x14ac:dyDescent="0.25">
      <c r="A70" s="12"/>
      <c r="B70" s="54"/>
      <c r="C70" s="54"/>
      <c r="D70" s="103" t="s">
        <v>108</v>
      </c>
      <c r="E70" s="77">
        <v>622320953.10000002</v>
      </c>
      <c r="F70" s="77">
        <v>487924811.13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773651722.28000009</v>
      </c>
      <c r="F79" s="61">
        <f>F63+F68+F75</f>
        <v>700184947.56999993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776841590.33000004</v>
      </c>
      <c r="F81" s="61">
        <f>F59+F79</f>
        <v>707738583.0999999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105807737.67999999</v>
      </c>
      <c r="Q4" s="18">
        <f>'Formato 1'!C9</f>
        <v>74274113.620000005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44861942.469999999</v>
      </c>
      <c r="Q6" s="18">
        <f>'Formato 1'!C11</f>
        <v>67028185.759999998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51576553.259999998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9369241.9499999993</v>
      </c>
      <c r="Q9" s="18">
        <f>'Formato 1'!C14</f>
        <v>7245927.8600000003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4659266.9300000006</v>
      </c>
      <c r="Q12" s="18">
        <f>'Formato 1'!C17</f>
        <v>4403448.3600000003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13252.33</v>
      </c>
      <c r="Q14" s="18">
        <f>'Formato 1'!C19</f>
        <v>22659.74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4283080.2</v>
      </c>
      <c r="Q15" s="18">
        <f>'Formato 1'!C20</f>
        <v>4034845.9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10000</v>
      </c>
      <c r="Q17" s="18">
        <f>'Formato 1'!C22</f>
        <v>6294.73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352934.40000000002</v>
      </c>
      <c r="Q19" s="18">
        <f>'Formato 1'!C24</f>
        <v>339647.99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21804226.239999998</v>
      </c>
      <c r="Q20" s="18">
        <f>'Formato 1'!C25</f>
        <v>27033293.139999997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884133.48</v>
      </c>
      <c r="Q21" s="18">
        <f>'Formato 1'!C26</f>
        <v>971133.48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19681101.68</v>
      </c>
      <c r="Q24" s="18">
        <f>'Formato 1'!C29</f>
        <v>24823168.579999998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132271230.84999999</v>
      </c>
      <c r="Q42" s="18">
        <f>'Formato 1'!C47</f>
        <v>105710855.12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624136000.09000003</v>
      </c>
      <c r="Q46">
        <f>'Formato 1'!C52</f>
        <v>582042886.11000001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75370278.769999996</v>
      </c>
      <c r="Q47">
        <f>'Formato 1'!C53</f>
        <v>75212184.269999996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-56577074.079999998</v>
      </c>
      <c r="Q49">
        <f>'Formato 1'!C55</f>
        <v>-56868361.159999996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644570223.53999996</v>
      </c>
      <c r="Q53">
        <f>'Formato 1'!C60</f>
        <v>602027727.98000002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776841454.38999999</v>
      </c>
      <c r="Q54">
        <f>'Formato 1'!C62</f>
        <v>707738583.10000002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3189868.05</v>
      </c>
      <c r="Q57">
        <f>'Formato 1'!F9</f>
        <v>7553635.5300000012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-3463.35</v>
      </c>
      <c r="Q58">
        <f>'Formato 1'!F10</f>
        <v>1602469.38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1883164.13</v>
      </c>
      <c r="Q59">
        <f>'Formato 1'!F11</f>
        <v>1150317.7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738.5</v>
      </c>
      <c r="Q60">
        <f>'Formato 1'!F12</f>
        <v>239773.61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2552</v>
      </c>
      <c r="Q62">
        <f>'Formato 1'!F14</f>
        <v>275206.76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1198395.6200000001</v>
      </c>
      <c r="Q64">
        <f>'Formato 1'!F16</f>
        <v>1952218.35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108481.15</v>
      </c>
      <c r="Q66">
        <f>'Formato 1'!F18</f>
        <v>2333649.73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3189868.05</v>
      </c>
      <c r="Q95">
        <f>'Formato 1'!F47</f>
        <v>7553635.5300000012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3189868.05</v>
      </c>
      <c r="Q104">
        <f>'Formato 1'!F59</f>
        <v>7553635.5300000012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79966082.859999999</v>
      </c>
      <c r="Q106">
        <f>'Formato 1'!F63</f>
        <v>77821459.00999999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75653380.090000004</v>
      </c>
      <c r="Q107">
        <f>'Formato 1'!F64</f>
        <v>73508756.239999995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4312702.7699999996</v>
      </c>
      <c r="Q108">
        <f>'Formato 1'!F65</f>
        <v>4312702.7699999996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693685639.42000008</v>
      </c>
      <c r="Q110">
        <f>'Formato 1'!F68</f>
        <v>622363488.55999994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71323241.819999993</v>
      </c>
      <c r="Q111">
        <f>'Formato 1'!F69</f>
        <v>134397232.93000001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622320953.10000002</v>
      </c>
      <c r="Q112">
        <f>'Formato 1'!F70</f>
        <v>487924811.13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773651722.28000009</v>
      </c>
      <c r="Q119">
        <f>'Formato 1'!F79</f>
        <v>700184947.56999993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776841590.33000004</v>
      </c>
      <c r="Q120">
        <f>'Formato 1'!F81</f>
        <v>707738583.0999999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topLeftCell="C6" zoomScale="90" zoomScaleNormal="90" workbookViewId="0">
      <selection activeCell="F42" sqref="B42: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2020 y al 30 de marzo de 2021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topLeftCell="F1" zoomScale="90" zoomScaleNormal="90" workbookViewId="0">
      <selection activeCell="K9" sqref="K9:K12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30 de marzo de 2021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2021 (k)</v>
      </c>
      <c r="J6" s="131" t="str">
        <f>MONTO2</f>
        <v>Monto pagado de la inversión actualizado al 30 de marzo de 2021 (l)</v>
      </c>
      <c r="K6" s="131" t="str">
        <f>SALDO_PENDIENTE</f>
        <v>Saldo pendiente por pagar de la inversión al 30 de marzo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4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1</v>
      </c>
      <c r="F9" s="60">
        <v>80</v>
      </c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1</v>
      </c>
      <c r="F10" s="60">
        <v>70</v>
      </c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1</v>
      </c>
      <c r="F11" s="60">
        <v>60</v>
      </c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1</v>
      </c>
      <c r="F12" s="60">
        <v>50</v>
      </c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4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1</v>
      </c>
      <c r="F15" s="60">
        <v>40</v>
      </c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1</v>
      </c>
      <c r="F16" s="60">
        <v>30</v>
      </c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1</v>
      </c>
      <c r="F17" s="60">
        <v>20</v>
      </c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1</v>
      </c>
      <c r="F18" s="60">
        <v>10</v>
      </c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8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4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4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8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2017-02-04T00:56:20Z</cp:lastPrinted>
  <dcterms:created xsi:type="dcterms:W3CDTF">2017-01-19T17:59:06Z</dcterms:created>
  <dcterms:modified xsi:type="dcterms:W3CDTF">2021-04-30T19:06:01Z</dcterms:modified>
</cp:coreProperties>
</file>